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9585" yWindow="65521" windowWidth="9570" windowHeight="9165" activeTab="0"/>
  </bookViews>
  <sheets>
    <sheet name="ToBeProcured" sheetId="1" r:id="rId1"/>
    <sheet name="Variable data" sheetId="2" r:id="rId2"/>
    <sheet name="Fixed data" sheetId="3" r:id="rId3"/>
    <sheet name="CountryItems" sheetId="4" r:id="rId4"/>
    <sheet name="ItemsDatabase" sheetId="5" r:id="rId5"/>
    <sheet name="Calculations" sheetId="6" state="hidden" r:id="rId6"/>
  </sheets>
  <definedNames>
    <definedName name="_xlnm._FilterDatabase" localSheetId="0" hidden="1">'ToBeProcured'!$I$5:$I$46</definedName>
    <definedName name="_xlnm.Print_Area" localSheetId="5">'Calculations'!$A$1:$M$63</definedName>
    <definedName name="_xlnm.Print_Area" localSheetId="2">'Fixed data'!$A$1:$H$29</definedName>
    <definedName name="_xlnm.Print_Area" localSheetId="1">'Variable data'!$A$1:$R$60</definedName>
    <definedName name="_xlnm.Print_Titles" localSheetId="1">'Variable data'!$9:$9</definedName>
  </definedNames>
  <calcPr fullCalcOnLoad="1"/>
</workbook>
</file>

<file path=xl/sharedStrings.xml><?xml version="1.0" encoding="utf-8"?>
<sst xmlns="http://schemas.openxmlformats.org/spreadsheetml/2006/main" count="766" uniqueCount="277">
  <si>
    <t>Forceps, stainless steel (18/8), antimagnetic, rounded, anatomical, length 160 mm</t>
  </si>
  <si>
    <t>Pressure cooker purchased from the local market, size as large as available</t>
  </si>
  <si>
    <t>local variations</t>
  </si>
  <si>
    <t>Marker pen, resistant against water and alcohol, also against autoclaving, writing on nearly all surfaces, even when cold and wet, fast drying, black, line 0.8 -  1 mm broad</t>
  </si>
  <si>
    <t>Beaker, plastic PP, with handgrip for rinsing, volume 1 L</t>
  </si>
  <si>
    <t xml:space="preserve">Funnel, lime-soda-glass, upper diameter about 50 mm, </t>
  </si>
  <si>
    <t xml:space="preserve">Funnel, lime-soda-glass, upper diameter about 100 mm. Remark: Price difference lime-soda glass to Duran glass about a factor of 3 </t>
  </si>
  <si>
    <t>Drop bottle, lime-soda-glass, complete with exchangeable norm grinded pipette and rubber suction device, volume 100 ml</t>
  </si>
  <si>
    <t>Oil dropper bottle, LDPE plastic, seal stopper fixed to screw cap, 10 ml</t>
  </si>
  <si>
    <t>Metal rod, 30 cm long, for use as a torch while heating slides covered with carbolfuchsin on staining rack</t>
  </si>
  <si>
    <t>local variation</t>
  </si>
  <si>
    <t>Alternatively microscope slides like described in position 2, but with frosted end, 20mm (for use of pencil as marker pen)</t>
  </si>
  <si>
    <t>Alternatively microscope slides like described in position 4, but edges grinded 90° (to prevent injuries)</t>
  </si>
  <si>
    <t>No. of units per pack</t>
  </si>
  <si>
    <t>Price per Pack [€]</t>
  </si>
  <si>
    <t>Measuring or counting unit</t>
  </si>
  <si>
    <t>Methanol or methylated ethanol for spirit lamps, techncal quality</t>
  </si>
  <si>
    <r>
      <t>Basic fuchsine, certified, (Colour Index №) C.I. 42510, C</t>
    </r>
    <r>
      <rPr>
        <vertAlign val="subscript"/>
        <sz val="10"/>
        <rFont val="Arial"/>
        <family val="0"/>
      </rPr>
      <t>20</t>
    </r>
    <r>
      <rPr>
        <sz val="10"/>
        <rFont val="Arial"/>
        <family val="0"/>
      </rPr>
      <t>H</t>
    </r>
    <r>
      <rPr>
        <vertAlign val="subscript"/>
        <sz val="10"/>
        <rFont val="Arial"/>
        <family val="0"/>
      </rPr>
      <t>20</t>
    </r>
    <r>
      <rPr>
        <sz val="10"/>
        <rFont val="Arial"/>
        <family val="0"/>
      </rPr>
      <t>ClN</t>
    </r>
    <r>
      <rPr>
        <vertAlign val="subscript"/>
        <sz val="10"/>
        <rFont val="Arial"/>
        <family val="0"/>
      </rPr>
      <t>3</t>
    </r>
    <r>
      <rPr>
        <sz val="10"/>
        <rFont val="Arial"/>
        <family val="0"/>
      </rPr>
      <t>, MW: 337.85, main product component ≥ 90%, melting point (decomposition 200 °C)</t>
    </r>
  </si>
  <si>
    <r>
      <t>Methylene blue, certified, C.I. 50015, C</t>
    </r>
    <r>
      <rPr>
        <vertAlign val="subscript"/>
        <sz val="10"/>
        <rFont val="Arial"/>
        <family val="0"/>
      </rPr>
      <t>16</t>
    </r>
    <r>
      <rPr>
        <sz val="10"/>
        <rFont val="Arial"/>
        <family val="0"/>
      </rPr>
      <t>H</t>
    </r>
    <r>
      <rPr>
        <vertAlign val="subscript"/>
        <sz val="10"/>
        <rFont val="Arial"/>
        <family val="0"/>
      </rPr>
      <t>18</t>
    </r>
    <r>
      <rPr>
        <sz val="10"/>
        <rFont val="Arial"/>
        <family val="0"/>
      </rPr>
      <t>ClN</t>
    </r>
    <r>
      <rPr>
        <vertAlign val="subscript"/>
        <sz val="10"/>
        <rFont val="Arial"/>
        <family val="0"/>
      </rPr>
      <t>3</t>
    </r>
    <r>
      <rPr>
        <sz val="10"/>
        <rFont val="Arial"/>
        <family val="0"/>
      </rPr>
      <t>S·xH</t>
    </r>
    <r>
      <rPr>
        <vertAlign val="subscript"/>
        <sz val="10"/>
        <rFont val="Arial"/>
        <family val="0"/>
      </rPr>
      <t>2</t>
    </r>
    <r>
      <rPr>
        <sz val="10"/>
        <rFont val="Arial"/>
        <family val="0"/>
      </rPr>
      <t>O (x = 2 - 3), MW: ≤ 319.86, melting point (decomposition) ~180 °C, dye component ≥ 82%</t>
    </r>
  </si>
  <si>
    <r>
      <t>Phenol crystals, purum, ≥ 99% (GC), C</t>
    </r>
    <r>
      <rPr>
        <vertAlign val="subscript"/>
        <sz val="10"/>
        <rFont val="Arial"/>
        <family val="0"/>
      </rPr>
      <t>6</t>
    </r>
    <r>
      <rPr>
        <sz val="10"/>
        <rFont val="Arial"/>
        <family val="0"/>
      </rPr>
      <t>H</t>
    </r>
    <r>
      <rPr>
        <vertAlign val="subscript"/>
        <sz val="10"/>
        <rFont val="Arial"/>
        <family val="0"/>
      </rPr>
      <t>6</t>
    </r>
    <r>
      <rPr>
        <sz val="10"/>
        <rFont val="Arial"/>
        <family val="0"/>
      </rPr>
      <t>O, MW: 94.11, melting point 40.8 °C</t>
    </r>
  </si>
  <si>
    <t>Hydrochloric acid, HCl, MW: 36.5, purum, ≥ 35%, density:  ≥ 1.17 [g/cm³]</t>
  </si>
  <si>
    <r>
      <t>Potassium permanganate, analytical grade, content 99%, KMnO</t>
    </r>
    <r>
      <rPr>
        <vertAlign val="subscript"/>
        <sz val="10"/>
        <rFont val="Arial"/>
        <family val="0"/>
      </rPr>
      <t>4</t>
    </r>
    <r>
      <rPr>
        <sz val="10"/>
        <rFont val="Arial"/>
        <family val="0"/>
      </rPr>
      <t>, MW: 158.04, decomposition &gt; 240 °C</t>
    </r>
  </si>
  <si>
    <t>Auramine O, certified, C.I. 41000, C17H22ClN3, MW: 303,84, dye component ≥ 85%, melting point ~ 265 °C</t>
  </si>
  <si>
    <t>Diamond pointed glass slide marker</t>
  </si>
  <si>
    <t>pc</t>
  </si>
  <si>
    <r>
      <t>Microscope slides, lime soda glass with SiO</t>
    </r>
    <r>
      <rPr>
        <vertAlign val="subscript"/>
        <sz val="10"/>
        <rFont val="Arial"/>
        <family val="0"/>
      </rPr>
      <t>2</t>
    </r>
    <r>
      <rPr>
        <sz val="10"/>
        <rFont val="Arial"/>
        <family val="0"/>
      </rPr>
      <t>: 72 - 74 %, Al</t>
    </r>
    <r>
      <rPr>
        <vertAlign val="subscript"/>
        <sz val="10"/>
        <rFont val="Arial"/>
        <family val="0"/>
      </rPr>
      <t>2</t>
    </r>
    <r>
      <rPr>
        <sz val="10"/>
        <rFont val="Arial"/>
        <family val="0"/>
      </rPr>
      <t>O</t>
    </r>
    <r>
      <rPr>
        <vertAlign val="subscript"/>
        <sz val="10"/>
        <rFont val="Arial"/>
        <family val="0"/>
      </rPr>
      <t>3</t>
    </r>
    <r>
      <rPr>
        <sz val="10"/>
        <rFont val="Arial"/>
        <family val="0"/>
      </rPr>
      <t>: 1 – 1,9 %, Fe</t>
    </r>
    <r>
      <rPr>
        <vertAlign val="subscript"/>
        <sz val="10"/>
        <rFont val="Arial"/>
        <family val="0"/>
      </rPr>
      <t>2</t>
    </r>
    <r>
      <rPr>
        <sz val="10"/>
        <rFont val="Arial"/>
        <family val="0"/>
      </rPr>
      <t>O</t>
    </r>
    <r>
      <rPr>
        <vertAlign val="subscript"/>
        <sz val="10"/>
        <rFont val="Arial"/>
        <family val="0"/>
      </rPr>
      <t>3</t>
    </r>
    <r>
      <rPr>
        <sz val="10"/>
        <rFont val="Arial"/>
        <family val="0"/>
      </rPr>
      <t>: 0.09 – 0.1 %, size 76 x 24 mm, thickness 1.0-1.2 mm according to ISO 8037/1, cleaned and degreased, straight edges and corners, cellophanized (tropical packing, paper in-between)</t>
    </r>
  </si>
  <si>
    <t>Applicator sticks: bamboo, coconut, wood...</t>
  </si>
  <si>
    <t>Immersion oil, non-drying synthetic oil, refractory index 1.515 - 1.517, viscosity at 20 °C 100 -120 mPas, non fluorescence, light transparency at 400 nm ≥ 75%</t>
  </si>
  <si>
    <t>Lens tissue (paper), soft, fluff free, about 80 x 100 mm, block of 50 sheets and 10 blocks in one pack</t>
  </si>
  <si>
    <t>sheet</t>
  </si>
  <si>
    <t>Powder-free disposable latex gloves, CE category III against complex risks, textured surface for slip resistance, ≥0,3 mm thickness, length ≥240 mm, size S</t>
  </si>
  <si>
    <t>pair</t>
  </si>
  <si>
    <t>Powder-free disposable latex gloves, CE category III against complex risks, textured surface for slip resistance, ≥0,3 mm thickness, length ≥240 mm, size M</t>
  </si>
  <si>
    <t>Powder-free disposable latex gloves, CE category III against complex risks, textured surface for slip resistance, ≥0,3 mm thickness, length ≥240 mm, size L</t>
  </si>
  <si>
    <t>form</t>
  </si>
  <si>
    <t>register</t>
  </si>
  <si>
    <t>Sputum smear register</t>
  </si>
  <si>
    <t>Disinfectant, 0.5% phenol solution, technical grade</t>
  </si>
  <si>
    <t>Binocular fluorescence microscope</t>
  </si>
  <si>
    <t>Bunsen Burner for the use of natural and/or for propane/ butane gas, needle valve for gas, air regulation, adjustable to economizer (mini) flame, gas hose connection for gas safety tubing with 9.5mm inner diameter, safe stand</t>
  </si>
  <si>
    <t>Gas safety tubing  appropriate for gas to be used and appropriate for safe connection to hose connection, two hose clips for each tube</t>
  </si>
  <si>
    <t>Gas cylinder pressure reducer with appropriate tube fitting, stopcock</t>
  </si>
  <si>
    <t>Spirit lamp, brass or stainless steel, volume approx. 85 ml, 100 mm diameter approx. 65 mm height, with wick (cotton wool or metal wire), wick adjustment and cap.</t>
  </si>
  <si>
    <t>Loop holder, according to Kolle, upper part aluminium or stainless steel, with plastic handle, length 240mm</t>
  </si>
  <si>
    <t>Racks for loop holders, smooth, disinfectable, proper stand, 3 to 4 positions</t>
  </si>
  <si>
    <t>Nichrome wire for wireloops, 0.8 - 1 mm diameter, nickel-chromium alloy 89 20, heat resistant to1200 °C</t>
  </si>
  <si>
    <t>meter</t>
  </si>
  <si>
    <t>Staining rack, home made from glass rods and rubber/ silicon tubes or formed from wire (preferably stainless steel) in appropriate size</t>
  </si>
  <si>
    <t>Slide drying rack, made from metal or heat stable plastic (≥120 °C), disinfectable, 20 -30 positions, positions slightly inclined for easy take off</t>
  </si>
  <si>
    <t xml:space="preserve">Slide storage boxes, plastic or wood, for 100 slides 76 x 26 mm </t>
  </si>
  <si>
    <t>Timer 0 - 60 min, spring driven, in disinfectable plastic housing, signal sound after time adjusted is over with stand and clip to hang to the lab gown</t>
  </si>
  <si>
    <t>Laboratory gown, prime cotton, fast to boiling, hooded button row, long sleeved, white</t>
  </si>
  <si>
    <t xml:space="preserve">Strongly self sticking adhesive labels, rolls or sheets (e.g. 50 x 19 mm, 24 per sheet and 200 sheets per box = 4800 label) </t>
  </si>
  <si>
    <t>Reagent bottles 1 L, Safe-break Winchester or Duran bottles with thread 45 and screw cap , amber, light absorption from short wave to 500 nm,  According to ISO 4746. Volume 1000 ml</t>
  </si>
  <si>
    <t>Staining bottles, swan neck bottles (PE flask, narrow neck with screw cap and jet dispenser) 250 ml</t>
  </si>
  <si>
    <t>Alternative, funnel, stainless steel, upper diameter approx. 50 mm, handgrip, side furrow for easy and controlled escape of container air. Advantage, durable, no breakage, less danger of injury</t>
  </si>
  <si>
    <t>Alternative, funnel, stainless steel, upper diameter approx. 100 mm, handgrip, side furrow for easy and controlled escape of container air. Advantage, durable, no breakage, less danger of injury</t>
  </si>
  <si>
    <t>Water distiller, 3-4L per hour</t>
  </si>
  <si>
    <t>Analytical balance, at least 10 mg readability, mechanical or electronic</t>
  </si>
  <si>
    <t>Balloon HDPE with discharge cock, 30 L, as stock container for distilled water</t>
  </si>
  <si>
    <t>Sputum container</t>
  </si>
  <si>
    <r>
      <t>Ethanol, 96%, technical grade, C</t>
    </r>
    <r>
      <rPr>
        <vertAlign val="subscript"/>
        <sz val="10"/>
        <rFont val="Arial"/>
        <family val="0"/>
      </rPr>
      <t>2</t>
    </r>
    <r>
      <rPr>
        <sz val="10"/>
        <rFont val="Arial"/>
        <family val="0"/>
      </rPr>
      <t>H</t>
    </r>
    <r>
      <rPr>
        <vertAlign val="subscript"/>
        <sz val="10"/>
        <rFont val="Arial"/>
        <family val="0"/>
      </rPr>
      <t>6</t>
    </r>
    <r>
      <rPr>
        <sz val="10"/>
        <rFont val="Arial"/>
        <family val="0"/>
      </rPr>
      <t>O, MW: 46,07, boiling point: 75 -78 °C</t>
    </r>
  </si>
  <si>
    <r>
      <t>Concentrated sulphuric acid, technical grade, H</t>
    </r>
    <r>
      <rPr>
        <vertAlign val="subscript"/>
        <sz val="10"/>
        <rFont val="Arial"/>
        <family val="0"/>
      </rPr>
      <t>2</t>
    </r>
    <r>
      <rPr>
        <sz val="10"/>
        <rFont val="Arial"/>
        <family val="0"/>
      </rPr>
      <t>SO</t>
    </r>
    <r>
      <rPr>
        <vertAlign val="subscript"/>
        <sz val="10"/>
        <rFont val="Arial"/>
        <family val="0"/>
      </rPr>
      <t>4</t>
    </r>
    <r>
      <rPr>
        <sz val="10"/>
        <rFont val="Arial"/>
        <family val="0"/>
      </rPr>
      <t>, MW: 98.08, density: 1,84 [g/cm³]</t>
    </r>
  </si>
  <si>
    <t>Local hospital quality</t>
  </si>
  <si>
    <t>Slide forceps</t>
  </si>
  <si>
    <t>Request forms</t>
  </si>
  <si>
    <t>Report forms</t>
  </si>
  <si>
    <t>Lab register</t>
  </si>
  <si>
    <t>Soft paper</t>
  </si>
  <si>
    <t>Smearing sticks</t>
  </si>
  <si>
    <t>Loopholder rack</t>
  </si>
  <si>
    <t>Bunsen</t>
  </si>
  <si>
    <t>Bunsen tubing</t>
  </si>
  <si>
    <t>Bunsen gas</t>
  </si>
  <si>
    <t>Bunsen pressure reducer</t>
  </si>
  <si>
    <t>Filter paper</t>
  </si>
  <si>
    <t>Microscope ZN</t>
  </si>
  <si>
    <t>Microscope FM</t>
  </si>
  <si>
    <t>Spare mirror for brightfield microscopy, fit to the specific microscopes used</t>
  </si>
  <si>
    <t>Slidebox</t>
  </si>
  <si>
    <t>Scissors</t>
  </si>
  <si>
    <t>Drying rack</t>
  </si>
  <si>
    <t>Staining rack</t>
  </si>
  <si>
    <t>Spare bulb for brightfield microscopy, fit to the specific microscopes used</t>
  </si>
  <si>
    <t>Spare objective</t>
  </si>
  <si>
    <t>Spare eyepiece</t>
  </si>
  <si>
    <t>Spare mirror</t>
  </si>
  <si>
    <t>Spare bulb</t>
  </si>
  <si>
    <t>Spare 100x objective oil immersion for brightfield microscopy, fit to the specific microscopes used</t>
  </si>
  <si>
    <t>Spare 10x ocular, fit to the specific microscopes used</t>
  </si>
  <si>
    <t>Steriliser</t>
  </si>
  <si>
    <t>Marker</t>
  </si>
  <si>
    <t>Labels</t>
  </si>
  <si>
    <t>Stock bottle</t>
  </si>
  <si>
    <t>Staining bottle</t>
  </si>
  <si>
    <t>Beaker</t>
  </si>
  <si>
    <t>Plastic jerrycan 4-5 L, tight closing with push-in cap as well as outer screwcap</t>
  </si>
  <si>
    <t>Funnel</t>
  </si>
  <si>
    <t>Dropper bottle</t>
  </si>
  <si>
    <t>Heating torch</t>
  </si>
  <si>
    <t>Distiller</t>
  </si>
  <si>
    <t>Water tank</t>
  </si>
  <si>
    <t>Balance</t>
  </si>
  <si>
    <t>Gloves S</t>
  </si>
  <si>
    <t>Gloves M</t>
  </si>
  <si>
    <t>Gloves L</t>
  </si>
  <si>
    <t>Filter paper circular</t>
  </si>
  <si>
    <t>Fiterpaper, cellulose, type 113A, weight 80 g/m² , middle fast filtrating, retention range 8 µm, round, diameter 150 mm</t>
  </si>
  <si>
    <t>Filterpaper, cellulose, type 113A, weight 80 g/m² , middle fast filtrating, retention range 8 µm, round, diameter 70 mm</t>
  </si>
  <si>
    <t>Filterpaper, cellulose, type 113A, weight 80 g/m² , middle fast filtrating, retention range 8 µm, round, diameter 110 mm</t>
  </si>
  <si>
    <t>Solutions transport container</t>
  </si>
  <si>
    <t>Plastic, upper diameter about 10 cm</t>
  </si>
  <si>
    <t>A</t>
  </si>
  <si>
    <t>*</t>
  </si>
  <si>
    <t>ITEM</t>
  </si>
  <si>
    <t>**</t>
  </si>
  <si>
    <t>***</t>
  </si>
  <si>
    <t>****</t>
  </si>
  <si>
    <t>ml</t>
  </si>
  <si>
    <t>Signature</t>
  </si>
  <si>
    <t>g</t>
  </si>
  <si>
    <t>B</t>
  </si>
  <si>
    <t>*****</t>
  </si>
  <si>
    <t>Auramine O</t>
  </si>
  <si>
    <t>C</t>
  </si>
  <si>
    <t>******</t>
  </si>
  <si>
    <t>L</t>
  </si>
  <si>
    <t>ORDER FOR AFB-MICROSCOPY SUPPLIES</t>
  </si>
  <si>
    <t>District</t>
  </si>
  <si>
    <t>Quarter</t>
  </si>
  <si>
    <t>Year</t>
  </si>
  <si>
    <t>Number of functional AFB-labs to supply</t>
  </si>
  <si>
    <t>THE QUANTITIES AND NUMBERS OF PACKING UNITS NEEDED WILL APPEAR HERE AFTER ENTERING ALL THE NECESSARY INFORMATION</t>
  </si>
  <si>
    <t>QUANTITY SUPPLIED      *****</t>
  </si>
  <si>
    <t>UNIT</t>
  </si>
  <si>
    <t xml:space="preserve">QUANTITY RECEIVED          ******                   </t>
  </si>
  <si>
    <t>SIGNATURE FOR RECEIPT</t>
  </si>
  <si>
    <t>Microscopy slides</t>
  </si>
  <si>
    <t>Basic fuchsin</t>
  </si>
  <si>
    <t>Phenol</t>
  </si>
  <si>
    <t>Potassium permanganate</t>
  </si>
  <si>
    <t>Sulfuric acid, concentrated</t>
  </si>
  <si>
    <t>Hydrochloric acid, fuming (37%)</t>
  </si>
  <si>
    <t>Burning spirit</t>
  </si>
  <si>
    <t>Immersion oil</t>
  </si>
  <si>
    <t>Xylene</t>
  </si>
  <si>
    <t>Cottonwool</t>
  </si>
  <si>
    <t>Nichrome wire</t>
  </si>
  <si>
    <t>Loopholder</t>
  </si>
  <si>
    <t>Timer</t>
  </si>
  <si>
    <t>Spiritlamp</t>
  </si>
  <si>
    <t>Diamond pencil</t>
  </si>
  <si>
    <t>Disinfectant</t>
  </si>
  <si>
    <t>Lab coat</t>
  </si>
  <si>
    <t>Other product calculated per lab</t>
  </si>
  <si>
    <t>grams</t>
  </si>
  <si>
    <t>(cartons, bottles)</t>
  </si>
  <si>
    <t>or</t>
  </si>
  <si>
    <t>at</t>
  </si>
  <si>
    <t>the supplying level will enter here the quantities supplied,taking into account the calculated needs plus other factors</t>
  </si>
  <si>
    <t>the requesting level will enter here the quantities received and sign for receipt</t>
  </si>
  <si>
    <t>enter here the total number of ZN smears examined in all laboratories supplied from this requesting level</t>
  </si>
  <si>
    <t>enter here the total number of auramine smears examined in all laboratories supplied from this requesting level</t>
  </si>
  <si>
    <t>enter here the number of functional AFB-microscopy labs to be supplied from this requesting level</t>
  </si>
  <si>
    <t>enter here the quantitities left in stock at this requesting level only, without counting stock remaining at the AFB-microscopy labs</t>
  </si>
  <si>
    <t>Date of the order</t>
  </si>
  <si>
    <t>NTP SPECIFIC DATA ON AFB-MICROSCOPY SUPPLIES</t>
  </si>
  <si>
    <t>(these data will not change frequently and need to be adapted only when necessary)</t>
  </si>
  <si>
    <t>Number of months consumption</t>
  </si>
  <si>
    <t>Number of months reserve stock allowed</t>
  </si>
  <si>
    <t>SPECIFY HERE THE QUANTITIES PER PACKING UNIT</t>
  </si>
  <si>
    <t>QUANTITY OF STAINING SOLUTION OR OTHER ITEM NEEDED PER SMEAR</t>
  </si>
  <si>
    <t>enter here the usually received packing unit</t>
  </si>
  <si>
    <t>QUANTITY OF THE ITEM NEEDED PER SMEAR OR PER LAB</t>
  </si>
  <si>
    <t>FACTOR STAINING SOLUTION FORMULATION</t>
  </si>
  <si>
    <t>Carbolfuchsin solution</t>
  </si>
  <si>
    <t>Auramine staining solution</t>
  </si>
  <si>
    <t>Permanganate solution</t>
  </si>
  <si>
    <t>Methylene blue solution</t>
  </si>
  <si>
    <t xml:space="preserve"> (grams/milliters of reagent per liter of solution ready for use)</t>
  </si>
  <si>
    <t>(pcs, grams, ml)</t>
  </si>
  <si>
    <t>(pcs, grams, ml, L)</t>
  </si>
  <si>
    <t>to complete packing units</t>
  </si>
  <si>
    <t>QUANTITY NEEDED FOR CONSUMPTION</t>
  </si>
  <si>
    <t>CONSUMPTION + RESERVE</t>
  </si>
  <si>
    <t>CALCULATED NECESSARY QUANTITY</t>
  </si>
  <si>
    <t>REQUEST ROUNDED</t>
  </si>
  <si>
    <t>QUANTITY PER PACKING UNIT</t>
  </si>
  <si>
    <t>REQUEST FOR AFB-MICROSCOPY SUPPLIES</t>
  </si>
  <si>
    <t>Hydrochloric acid for ZN</t>
  </si>
  <si>
    <t>Hydrochloric acid for fluorescence</t>
  </si>
  <si>
    <t>Destaining solution ZN</t>
  </si>
  <si>
    <t>Destaining solution fluorescence</t>
  </si>
  <si>
    <t>Number of ZN-smears examined during the last period</t>
  </si>
  <si>
    <t>Number of auramine-smears examined during the last period</t>
  </si>
  <si>
    <t>Number FM smears per month</t>
  </si>
  <si>
    <t>Number ZN smears per month</t>
  </si>
  <si>
    <t>Total smears per month</t>
  </si>
  <si>
    <t>Phenol for ZN</t>
  </si>
  <si>
    <t>Phenol for fluorescence</t>
  </si>
  <si>
    <t>QUANTITY OF STAINING SOLUTION OR OTHER ITEM NEEDED PER LAB AND PER YEAR</t>
  </si>
  <si>
    <t>Number of ZN-smears examined during the last period of</t>
  </si>
  <si>
    <t>Number of auramine-smears examined during the last period of</t>
  </si>
  <si>
    <t>months:</t>
  </si>
  <si>
    <t>Number of functional AFB-labs to supply:</t>
  </si>
  <si>
    <t>SPECIFY HERE THE FORMULATION OF SOLUTIONS USED BY THE NTP: grams of powder, or millliters of liquid (alcohol, acid) per liter of staining solution</t>
  </si>
  <si>
    <t>m</t>
  </si>
  <si>
    <t>/</t>
  </si>
  <si>
    <t>carton</t>
  </si>
  <si>
    <t>box</t>
  </si>
  <si>
    <t>bottle</t>
  </si>
  <si>
    <t>roll</t>
  </si>
  <si>
    <t>container</t>
  </si>
  <si>
    <t>Calculation of packing units</t>
  </si>
  <si>
    <t>Zero values for negatives</t>
  </si>
  <si>
    <t>Number of months lead time for new procurement</t>
  </si>
  <si>
    <t>No.OF MONTHS CONSUMPTION</t>
  </si>
  <si>
    <t>COVERED BY STOCK</t>
  </si>
  <si>
    <t xml:space="preserve">CONSUMPTION PER MONTH </t>
  </si>
  <si>
    <t>AT CURRENT RATE</t>
  </si>
  <si>
    <t>°</t>
  </si>
  <si>
    <t>nos. of months in red font indicate items for emergency procurement (stocks lower than the lead period for procurement)</t>
  </si>
  <si>
    <t>nos. of months in orange font indicate items in need of regular procurement (stocks insufficient for lead period + consumption period specified)</t>
  </si>
  <si>
    <t xml:space="preserve">Ethanol 95% </t>
  </si>
  <si>
    <t>Ethanol 95% for ZN and auramine stains</t>
  </si>
  <si>
    <t>Ethanol 95% for ZN acid alcohol</t>
  </si>
  <si>
    <t>Ethanol 95% for fluorescence acid alcohol</t>
  </si>
  <si>
    <t>QUANTITIES IN STOCK + ARRIVING</t>
  </si>
  <si>
    <t>QUANTITIES ORDERED AND EXPECTED TO ARRIVE</t>
  </si>
  <si>
    <t>Methylene blue powder for ZN and FM</t>
  </si>
  <si>
    <t>RESERVE + LEAD TIME CONSUMPTION</t>
  </si>
  <si>
    <t xml:space="preserve">Ratio reserve + lead time / consumption:  </t>
  </si>
  <si>
    <t>No. OF MONTHS CONSUMPTION IN STOCK + COMING°</t>
  </si>
  <si>
    <t>If numbers of smears examined are unknown, enter the most recent number of smear-positive cases detected (all), divided by fraction of average positivity rate in the labs, multiplied by the number of sputums examined per suspect, and finally divided over ZN versus FM according to estimated proportions of these tests.</t>
  </si>
  <si>
    <t>ITEMS AND QUANTITIES TO BE PROCURED</t>
  </si>
  <si>
    <t>TOTAL COST:</t>
  </si>
  <si>
    <t>Euros</t>
  </si>
  <si>
    <t>Item</t>
  </si>
  <si>
    <t>Unit</t>
  </si>
  <si>
    <t>Pack unit</t>
  </si>
  <si>
    <t>Pack size</t>
  </si>
  <si>
    <t>Number of units needed</t>
  </si>
  <si>
    <t>Number of packs needed</t>
  </si>
  <si>
    <t>Pack price in Euros</t>
  </si>
  <si>
    <t>Cost estimated needs in Euros</t>
  </si>
  <si>
    <t>Number of packing units to order</t>
  </si>
  <si>
    <t>Cost of the order</t>
  </si>
  <si>
    <t>Packing unit</t>
  </si>
  <si>
    <t>Specifications</t>
  </si>
  <si>
    <t>of</t>
  </si>
  <si>
    <t>Description</t>
  </si>
  <si>
    <t>litre</t>
  </si>
  <si>
    <t>Fluorescence microscopy (additional chemicals specified)</t>
  </si>
  <si>
    <t xml:space="preserve">Phenol </t>
  </si>
  <si>
    <t>ethanol, 96%</t>
  </si>
  <si>
    <t>Hydrochloric acid</t>
  </si>
  <si>
    <t>pack</t>
  </si>
  <si>
    <t>variable</t>
  </si>
  <si>
    <t>Laboratory request forms</t>
  </si>
  <si>
    <t>Laboratory report forms</t>
  </si>
  <si>
    <t>kg</t>
  </si>
  <si>
    <t>Small equipment for microscopy</t>
  </si>
  <si>
    <t>Ziehl-Neelsen microscopy</t>
  </si>
  <si>
    <t>Consumables for microscopy</t>
  </si>
  <si>
    <t>Sputum containers, disposable, transparent plastic, frosted writing surface preferred, tight waterproof screw capped, wide mouthed with diameter ≥35 mm, volume 40 - 50 ml, combustible without forming dangerous (poison) smoke</t>
  </si>
  <si>
    <t>Binocular microscope</t>
  </si>
  <si>
    <t>30,00                or                 32,00</t>
  </si>
  <si>
    <t xml:space="preserve">Butane gas cylinders (if needed two per lab), size according to containers available, and storage according to national rules, (if larger than 500 ml at a good ventilated locked box, connected through a metal pipe to the laboratory). Flexible connections inside the laboratory should be as short as possible </t>
  </si>
  <si>
    <t>Scissors, stainless steel (18/8), polished, one part pointed, one part rounded, length 160 mm, autoclavable</t>
  </si>
  <si>
    <t>Other item calculated per smear</t>
  </si>
  <si>
    <t>mixture, for synthesis</t>
  </si>
  <si>
    <t>LEFT IN STOCK****    (pc = piece;                 g = grams;                      ml = milliliter;                  L=litre )</t>
  </si>
  <si>
    <t>of the order</t>
  </si>
  <si>
    <t>of the estimated needs</t>
  </si>
  <si>
    <t>Methylene blue powder for ZN</t>
  </si>
  <si>
    <t>Methylene blue powder for FM</t>
  </si>
  <si>
    <t>Methylene blue powder</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</si>
</sst>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BF&quot;_-;\-* #,##0\ &quot;BF&quot;_-;_-* &quot;-&quot;\ &quot;BF&quot;_-;_-@_-"/>
    <numFmt numFmtId="165" formatCode="_-* #,##0\ _B_F_-;\-* #,##0\ _B_F_-;_-* &quot;-&quot;\ _B_F_-;_-@_-"/>
    <numFmt numFmtId="166" formatCode="_-* #,##0.00\ &quot;BF&quot;_-;\-* #,##0.00\ &quot;BF&quot;_-;_-* &quot;-&quot;??\ &quot;BF&quot;_-;_-@_-"/>
    <numFmt numFmtId="167" formatCode="_-* #,##0.00\ _B_F_-;\-* #,##0.00\ _B_F_-;_-* &quot;-&quot;??\ _B_F_-;_-@_-"/>
    <numFmt numFmtId="168" formatCode="0.0"/>
    <numFmt numFmtId="169" formatCode="#,##0.0"/>
    <numFmt numFmtId="170" formatCode="#,##0.00\ &quot;€&quot;"/>
    <numFmt numFmtId="171" formatCode="#,##0.00\ _€"/>
    <numFmt numFmtId="172" formatCode="#,##0\ &quot;€&quot;"/>
  </numFmts>
  <fonts count="20">
    <font>
      <sz val="11"/>
      <name val="Arial"/>
      <family val="0"/>
    </font>
    <font>
      <u val="single"/>
      <sz val="8.25"/>
      <color indexed="36"/>
      <name val="Arial"/>
      <family val="0"/>
    </font>
    <font>
      <u val="single"/>
      <sz val="8.25"/>
      <color indexed="12"/>
      <name val="Arial"/>
      <family val="0"/>
    </font>
    <font>
      <sz val="8"/>
      <name val="Arial"/>
      <family val="0"/>
    </font>
    <font>
      <sz val="12"/>
      <name val="Arial"/>
      <family val="2"/>
    </font>
    <font>
      <b/>
      <sz val="12"/>
      <name val="Arial"/>
      <family val="2"/>
    </font>
    <font>
      <b/>
      <sz val="11"/>
      <name val="Arial"/>
      <family val="2"/>
    </font>
    <font>
      <b/>
      <sz val="10"/>
      <name val="Arial"/>
      <family val="2"/>
    </font>
    <font>
      <b/>
      <sz val="14"/>
      <name val="Arial"/>
      <family val="2"/>
    </font>
    <font>
      <sz val="14"/>
      <name val="Arial"/>
      <family val="2"/>
    </font>
    <font>
      <u val="single"/>
      <sz val="11"/>
      <name val="Arial"/>
      <family val="2"/>
    </font>
    <font>
      <b/>
      <u val="single"/>
      <sz val="16"/>
      <name val="Arial"/>
      <family val="2"/>
    </font>
    <font>
      <b/>
      <sz val="18"/>
      <name val="Arial"/>
      <family val="2"/>
    </font>
    <font>
      <b/>
      <i/>
      <sz val="14"/>
      <name val="Arial"/>
      <family val="2"/>
    </font>
    <font>
      <b/>
      <sz val="12"/>
      <color indexed="9"/>
      <name val="Arial"/>
      <family val="2"/>
    </font>
    <font>
      <sz val="10"/>
      <name val="Arial"/>
      <family val="0"/>
    </font>
    <font>
      <sz val="10"/>
      <name val="Arial Cyr"/>
      <family val="0"/>
    </font>
    <font>
      <b/>
      <sz val="16"/>
      <name val="Arial"/>
      <family val="2"/>
    </font>
    <font>
      <sz val="8"/>
      <name val="Tahoma"/>
      <family val="2"/>
    </font>
    <font>
      <vertAlign val="subscript"/>
      <sz val="10"/>
      <name val="Arial"/>
      <family val="0"/>
    </font>
  </fonts>
  <fills count="3">
    <fill>
      <patternFill/>
    </fill>
    <fill>
      <patternFill patternType="gray125"/>
    </fill>
    <fill>
      <patternFill patternType="solid">
        <fgColor indexed="63"/>
        <bgColor indexed="64"/>
      </patternFill>
    </fill>
  </fills>
  <borders count="63">
    <border>
      <left/>
      <right/>
      <top/>
      <bottom/>
      <diagonal/>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thin"/>
      <right style="thin"/>
      <top style="medium"/>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hair"/>
    </border>
    <border>
      <left style="thin"/>
      <right>
        <color indexed="63"/>
      </right>
      <top style="thin"/>
      <bottom style="thin"/>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style="medium"/>
      <bottom style="medium"/>
    </border>
    <border>
      <left style="thick"/>
      <right style="thick"/>
      <top style="thin"/>
      <bottom style="thin"/>
    </border>
    <border>
      <left style="thick"/>
      <right style="thick"/>
      <top style="thin"/>
      <bottom style="thick"/>
    </border>
    <border>
      <left>
        <color indexed="63"/>
      </left>
      <right style="thin"/>
      <top style="thin"/>
      <bottom style="thin"/>
    </border>
    <border>
      <left style="thin"/>
      <right style="thin"/>
      <top>
        <color indexed="63"/>
      </top>
      <bottom style="thin"/>
    </border>
    <border>
      <left>
        <color indexed="63"/>
      </left>
      <right style="thick"/>
      <top style="thin"/>
      <bottom style="thin"/>
    </border>
    <border>
      <left>
        <color indexed="63"/>
      </left>
      <right>
        <color indexed="63"/>
      </right>
      <top style="medium"/>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style="thick"/>
      <right>
        <color indexed="63"/>
      </right>
      <top style="thin"/>
      <bottom style="thin"/>
    </border>
    <border>
      <left style="thick"/>
      <right style="thick"/>
      <top style="medium"/>
      <bottom style="thin"/>
    </border>
    <border>
      <left style="medium"/>
      <right style="medium"/>
      <top style="medium"/>
      <bottom style="medium"/>
    </border>
    <border>
      <left style="thick"/>
      <right>
        <color indexed="63"/>
      </right>
      <top>
        <color indexed="63"/>
      </top>
      <bottom style="thick"/>
    </border>
    <border>
      <left>
        <color indexed="63"/>
      </left>
      <right style="thick"/>
      <top>
        <color indexed="63"/>
      </top>
      <bottom style="thick"/>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style="thin"/>
      <right style="thick"/>
      <top style="medium"/>
      <bottom style="thin"/>
    </border>
    <border>
      <left style="thin"/>
      <right style="thick"/>
      <top style="thin"/>
      <bottom style="thin"/>
    </border>
    <border>
      <left>
        <color indexed="63"/>
      </left>
      <right style="thick"/>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top style="thick"/>
      <bottom style="thick"/>
    </border>
    <border>
      <left>
        <color indexed="63"/>
      </left>
      <right>
        <color indexed="63"/>
      </right>
      <top>
        <color indexed="63"/>
      </top>
      <bottom style="medium"/>
    </border>
    <border>
      <left style="thick"/>
      <right style="thick"/>
      <top style="thick"/>
      <bottom style="thick"/>
    </border>
    <border>
      <left style="thin"/>
      <right style="medium"/>
      <top style="medium"/>
      <bottom style="medium"/>
    </border>
    <border>
      <left>
        <color indexed="63"/>
      </left>
      <right style="thin"/>
      <top style="medium"/>
      <bottom style="thin"/>
    </border>
    <border>
      <left style="thick"/>
      <right style="thin"/>
      <top style="medium"/>
      <bottom style="medium"/>
    </border>
    <border>
      <left style="thick"/>
      <right style="thin"/>
      <top style="medium"/>
      <bottom style="thin"/>
    </border>
    <border>
      <left style="thick"/>
      <right style="thin"/>
      <top style="thin"/>
      <bottom style="thin"/>
    </border>
    <border>
      <left style="thick"/>
      <right>
        <color indexed="63"/>
      </right>
      <top style="thin"/>
      <bottom style="thick"/>
    </border>
    <border>
      <left style="thin"/>
      <right>
        <color indexed="63"/>
      </right>
      <top>
        <color indexed="63"/>
      </top>
      <bottom style="thin"/>
    </border>
    <border>
      <left>
        <color indexed="63"/>
      </left>
      <right style="thick"/>
      <top style="thin"/>
      <bottom style="thick"/>
    </border>
    <border>
      <left style="thick"/>
      <right style="thin"/>
      <top>
        <color indexed="63"/>
      </top>
      <bottom style="thin"/>
    </border>
    <border>
      <left style="medium">
        <color indexed="10"/>
      </left>
      <right style="medium">
        <color indexed="10"/>
      </right>
      <top style="medium">
        <color indexed="10"/>
      </top>
      <bottom style="thin"/>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medium">
        <color indexed="10"/>
      </left>
      <right style="medium">
        <color indexed="10"/>
      </right>
      <top style="medium">
        <color indexed="10"/>
      </top>
      <bottom style="medium">
        <color indexed="10"/>
      </bottom>
    </border>
    <border>
      <left style="thin"/>
      <right style="thick"/>
      <top style="medium"/>
      <bottom style="medium"/>
    </border>
    <border>
      <left style="thick"/>
      <right>
        <color indexed="63"/>
      </right>
      <top style="thick"/>
      <bottom style="thick"/>
    </border>
    <border>
      <left style="thick"/>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15"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lignment/>
      <protection/>
    </xf>
    <xf numFmtId="0" fontId="15" fillId="0" borderId="0">
      <alignment/>
      <protection/>
    </xf>
    <xf numFmtId="9" fontId="0" fillId="0" borderId="0" applyFont="0" applyFill="0" applyBorder="0" applyAlignment="0" applyProtection="0"/>
    <xf numFmtId="0" fontId="16" fillId="0" borderId="0">
      <alignment/>
      <protection/>
    </xf>
  </cellStyleXfs>
  <cellXfs count="260">
    <xf numFmtId="0" fontId="0" fillId="0" borderId="0" xfId="0" applyAlignment="1">
      <alignment/>
    </xf>
    <xf numFmtId="0" fontId="0" fillId="0" borderId="0" xfId="0" applyFill="1" applyAlignment="1" applyProtection="1">
      <alignment/>
      <protection locked="0"/>
    </xf>
    <xf numFmtId="0" fontId="4" fillId="0" borderId="0" xfId="0" applyFont="1" applyFill="1" applyAlignment="1" applyProtection="1">
      <alignment/>
      <protection locked="0"/>
    </xf>
    <xf numFmtId="0" fontId="5" fillId="0" borderId="0" xfId="0" applyFont="1" applyFill="1" applyAlignment="1" applyProtection="1">
      <alignmen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protection locked="0"/>
    </xf>
    <xf numFmtId="0" fontId="5" fillId="0" borderId="1" xfId="0" applyFont="1" applyFill="1" applyBorder="1" applyAlignment="1" applyProtection="1">
      <alignment horizontal="center"/>
      <protection locked="0"/>
    </xf>
    <xf numFmtId="0" fontId="5" fillId="0" borderId="2" xfId="0" applyFont="1" applyFill="1" applyBorder="1" applyAlignment="1" applyProtection="1">
      <alignment/>
      <protection locked="0"/>
    </xf>
    <xf numFmtId="0" fontId="5" fillId="0" borderId="2" xfId="0" applyFont="1" applyFill="1" applyBorder="1" applyAlignment="1" applyProtection="1">
      <alignment horizontal="center"/>
      <protection locked="0"/>
    </xf>
    <xf numFmtId="0" fontId="5" fillId="0" borderId="0" xfId="0" applyFont="1" applyFill="1" applyAlignment="1" applyProtection="1">
      <alignment horizontal="left"/>
      <protection locked="0"/>
    </xf>
    <xf numFmtId="0" fontId="6" fillId="0" borderId="3" xfId="0" applyFont="1" applyFill="1" applyBorder="1" applyAlignment="1" applyProtection="1">
      <alignment horizontal="center"/>
      <protection locked="0"/>
    </xf>
    <xf numFmtId="0" fontId="6" fillId="0" borderId="4" xfId="0" applyFont="1" applyFill="1" applyBorder="1" applyAlignment="1" applyProtection="1">
      <alignment horizontal="center" wrapText="1"/>
      <protection locked="0"/>
    </xf>
    <xf numFmtId="0" fontId="6" fillId="0" borderId="0" xfId="0" applyFont="1" applyFill="1" applyAlignment="1" applyProtection="1">
      <alignment horizontal="center"/>
      <protection locked="0"/>
    </xf>
    <xf numFmtId="0" fontId="6" fillId="0" borderId="0" xfId="0" applyFont="1" applyFill="1" applyAlignment="1" applyProtection="1">
      <alignment horizontal="center" vertical="top"/>
      <protection locked="0"/>
    </xf>
    <xf numFmtId="0" fontId="6" fillId="0" borderId="0" xfId="0" applyFont="1" applyFill="1" applyAlignment="1" applyProtection="1">
      <alignment/>
      <protection locked="0"/>
    </xf>
    <xf numFmtId="0" fontId="0" fillId="0" borderId="0" xfId="0" applyFill="1" applyAlignment="1" applyProtection="1">
      <alignment/>
      <protection/>
    </xf>
    <xf numFmtId="0" fontId="0" fillId="0" borderId="5" xfId="0" applyFill="1" applyBorder="1" applyAlignment="1" applyProtection="1">
      <alignment horizontal="center"/>
      <protection/>
    </xf>
    <xf numFmtId="0" fontId="6"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5" fillId="0" borderId="0" xfId="0" applyFont="1" applyFill="1" applyAlignment="1" applyProtection="1">
      <alignment horizontal="center"/>
      <protection locked="0"/>
    </xf>
    <xf numFmtId="0" fontId="0" fillId="2" borderId="5" xfId="0" applyFill="1" applyBorder="1" applyAlignment="1" applyProtection="1">
      <alignment horizontal="center"/>
      <protection locked="0"/>
    </xf>
    <xf numFmtId="3" fontId="0" fillId="0" borderId="5" xfId="0" applyNumberFormat="1" applyFill="1" applyBorder="1" applyAlignment="1" applyProtection="1">
      <alignment horizontal="center"/>
      <protection/>
    </xf>
    <xf numFmtId="0" fontId="6" fillId="0" borderId="5" xfId="0" applyFont="1" applyFill="1" applyBorder="1" applyAlignment="1" applyProtection="1">
      <alignment/>
      <protection locked="0"/>
    </xf>
    <xf numFmtId="0" fontId="6" fillId="0" borderId="6" xfId="0" applyFont="1" applyFill="1" applyBorder="1" applyAlignment="1" applyProtection="1">
      <alignment horizontal="center"/>
      <protection locked="0"/>
    </xf>
    <xf numFmtId="0" fontId="6" fillId="0" borderId="7" xfId="0" applyFont="1" applyFill="1" applyBorder="1" applyAlignment="1" applyProtection="1">
      <alignment/>
      <protection locked="0"/>
    </xf>
    <xf numFmtId="3" fontId="6" fillId="0" borderId="6" xfId="0" applyNumberFormat="1" applyFont="1" applyFill="1" applyBorder="1" applyAlignment="1" applyProtection="1">
      <alignment horizontal="center"/>
      <protection/>
    </xf>
    <xf numFmtId="0" fontId="6" fillId="0" borderId="8" xfId="0" applyFont="1" applyBorder="1" applyAlignment="1" applyProtection="1">
      <alignment/>
      <protection locked="0"/>
    </xf>
    <xf numFmtId="0" fontId="6" fillId="0" borderId="9" xfId="0" applyFont="1" applyFill="1" applyBorder="1" applyAlignment="1" applyProtection="1">
      <alignment horizontal="center" vertical="top"/>
      <protection locked="0"/>
    </xf>
    <xf numFmtId="0" fontId="6" fillId="0" borderId="10" xfId="0" applyFont="1" applyFill="1" applyBorder="1" applyAlignment="1" applyProtection="1">
      <alignment horizontal="center" vertical="top" wrapText="1"/>
      <protection locked="0"/>
    </xf>
    <xf numFmtId="0" fontId="6" fillId="0" borderId="11" xfId="0" applyFont="1" applyFill="1" applyBorder="1" applyAlignment="1" applyProtection="1">
      <alignment horizontal="center"/>
      <protection/>
    </xf>
    <xf numFmtId="0" fontId="6" fillId="0" borderId="5" xfId="0" applyFont="1" applyFill="1" applyBorder="1" applyAlignment="1" applyProtection="1">
      <alignment horizontal="center"/>
      <protection/>
    </xf>
    <xf numFmtId="0" fontId="5" fillId="0" borderId="1" xfId="0" applyFont="1" applyFill="1" applyBorder="1" applyAlignment="1" applyProtection="1">
      <alignment horizontal="center" vertical="top"/>
      <protection locked="0"/>
    </xf>
    <xf numFmtId="0" fontId="5" fillId="0" borderId="2" xfId="0" applyFont="1" applyFill="1" applyBorder="1" applyAlignment="1" applyProtection="1">
      <alignment horizontal="center" vertical="top"/>
      <protection locked="0"/>
    </xf>
    <xf numFmtId="0" fontId="5" fillId="0" borderId="12" xfId="0" applyFont="1" applyFill="1" applyBorder="1" applyAlignment="1" applyProtection="1">
      <alignment horizontal="center" vertical="top" wrapText="1"/>
      <protection locked="0"/>
    </xf>
    <xf numFmtId="0" fontId="5" fillId="0" borderId="0" xfId="0" applyFont="1" applyFill="1" applyAlignment="1" applyProtection="1">
      <alignment horizontal="center" vertical="top"/>
      <protection locked="0"/>
    </xf>
    <xf numFmtId="3" fontId="0" fillId="2" borderId="5" xfId="0" applyNumberFormat="1" applyFill="1" applyBorder="1" applyAlignment="1" applyProtection="1">
      <alignment horizontal="center"/>
      <protection locked="0"/>
    </xf>
    <xf numFmtId="0" fontId="0" fillId="2" borderId="0" xfId="0" applyFill="1" applyAlignment="1" applyProtection="1">
      <alignment/>
      <protection locked="0"/>
    </xf>
    <xf numFmtId="0" fontId="8" fillId="0" borderId="0" xfId="0" applyFont="1" applyFill="1" applyAlignment="1" applyProtection="1">
      <alignment/>
      <protection locked="0"/>
    </xf>
    <xf numFmtId="0" fontId="9" fillId="0" borderId="0" xfId="0" applyFont="1" applyFill="1" applyAlignment="1" applyProtection="1">
      <alignment/>
      <protection locked="0"/>
    </xf>
    <xf numFmtId="0" fontId="0" fillId="0" borderId="6" xfId="0" applyFill="1" applyBorder="1" applyAlignment="1" applyProtection="1">
      <alignment/>
      <protection locked="0"/>
    </xf>
    <xf numFmtId="0" fontId="0" fillId="0" borderId="13"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5" fillId="0" borderId="8" xfId="0" applyFont="1" applyFill="1" applyBorder="1" applyAlignment="1" applyProtection="1">
      <alignment horizontal="left"/>
      <protection locked="0"/>
    </xf>
    <xf numFmtId="0" fontId="6" fillId="0" borderId="15" xfId="0" applyFont="1" applyFill="1" applyBorder="1" applyAlignment="1" applyProtection="1">
      <alignment/>
      <protection locked="0"/>
    </xf>
    <xf numFmtId="0" fontId="5" fillId="0" borderId="0" xfId="0" applyFont="1" applyFill="1" applyBorder="1" applyAlignment="1" applyProtection="1">
      <alignment horizontal="right"/>
      <protection locked="0"/>
    </xf>
    <xf numFmtId="0" fontId="6" fillId="0" borderId="16" xfId="0" applyFont="1" applyFill="1" applyBorder="1" applyAlignment="1" applyProtection="1">
      <alignment/>
      <protection locked="0"/>
    </xf>
    <xf numFmtId="0" fontId="6" fillId="0" borderId="17" xfId="0" applyFont="1" applyFill="1" applyBorder="1" applyAlignment="1" applyProtection="1">
      <alignment/>
      <protection locked="0"/>
    </xf>
    <xf numFmtId="0" fontId="6" fillId="0" borderId="15" xfId="0" applyFont="1" applyFill="1" applyBorder="1" applyAlignment="1" applyProtection="1">
      <alignment/>
      <protection/>
    </xf>
    <xf numFmtId="0" fontId="0" fillId="0" borderId="18" xfId="0" applyFill="1" applyBorder="1" applyAlignment="1" applyProtection="1">
      <alignment/>
      <protection locked="0"/>
    </xf>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10" fillId="0" borderId="0" xfId="0" applyFont="1" applyFill="1" applyAlignment="1" applyProtection="1">
      <alignment/>
      <protection locked="0"/>
    </xf>
    <xf numFmtId="0" fontId="8" fillId="0" borderId="0" xfId="0" applyFont="1" applyFill="1" applyBorder="1" applyAlignment="1" applyProtection="1">
      <alignment horizontal="center"/>
      <protection locked="0"/>
    </xf>
    <xf numFmtId="0" fontId="8"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8" fillId="0" borderId="26" xfId="0" applyFont="1" applyFill="1" applyBorder="1" applyAlignment="1" applyProtection="1">
      <alignment horizontal="center" vertical="center"/>
      <protection locked="0"/>
    </xf>
    <xf numFmtId="0" fontId="0" fillId="0" borderId="6" xfId="0" applyFont="1" applyFill="1" applyBorder="1" applyAlignment="1" applyProtection="1">
      <alignment/>
      <protection locked="0"/>
    </xf>
    <xf numFmtId="0" fontId="0" fillId="2" borderId="21" xfId="0" applyFont="1" applyFill="1" applyBorder="1" applyAlignment="1" applyProtection="1">
      <alignment horizontal="center"/>
      <protection locked="0"/>
    </xf>
    <xf numFmtId="0" fontId="0" fillId="2" borderId="2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0" fillId="2" borderId="28"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6" fillId="0" borderId="4" xfId="0" applyFont="1" applyBorder="1" applyAlignment="1" applyProtection="1">
      <alignment horizontal="center" wrapText="1"/>
      <protection locked="0"/>
    </xf>
    <xf numFmtId="0" fontId="6" fillId="0" borderId="29" xfId="0" applyFont="1" applyBorder="1" applyAlignment="1" applyProtection="1">
      <alignment horizontal="center" wrapText="1"/>
      <protection locked="0"/>
    </xf>
    <xf numFmtId="0" fontId="7" fillId="0" borderId="10" xfId="0" applyFont="1" applyBorder="1" applyAlignment="1" applyProtection="1">
      <alignment horizontal="center" vertical="top" wrapText="1"/>
      <protection locked="0"/>
    </xf>
    <xf numFmtId="0" fontId="6" fillId="0" borderId="30" xfId="0" applyFont="1" applyBorder="1" applyAlignment="1" applyProtection="1">
      <alignment horizontal="center" vertical="top" wrapText="1"/>
      <protection locked="0"/>
    </xf>
    <xf numFmtId="0" fontId="6" fillId="0" borderId="31" xfId="0" applyFont="1" applyBorder="1" applyAlignment="1" applyProtection="1">
      <alignment/>
      <protection/>
    </xf>
    <xf numFmtId="0" fontId="6" fillId="0" borderId="8" xfId="0" applyFont="1" applyBorder="1" applyAlignment="1" applyProtection="1">
      <alignment/>
      <protection/>
    </xf>
    <xf numFmtId="0" fontId="0" fillId="0" borderId="11" xfId="0" applyFill="1" applyBorder="1" applyAlignment="1" applyProtection="1">
      <alignment horizontal="center"/>
      <protection/>
    </xf>
    <xf numFmtId="0" fontId="0" fillId="2" borderId="11" xfId="0" applyFill="1" applyBorder="1" applyAlignment="1" applyProtection="1">
      <alignment horizontal="center"/>
      <protection locked="0"/>
    </xf>
    <xf numFmtId="3" fontId="0" fillId="0" borderId="11" xfId="0" applyNumberFormat="1" applyFill="1" applyBorder="1" applyAlignment="1" applyProtection="1">
      <alignment horizontal="center"/>
      <protection/>
    </xf>
    <xf numFmtId="0" fontId="6" fillId="0" borderId="0" xfId="0" applyFont="1" applyFill="1" applyAlignment="1" applyProtection="1">
      <alignment/>
      <protection/>
    </xf>
    <xf numFmtId="0" fontId="5" fillId="0" borderId="31" xfId="0" applyFont="1" applyFill="1" applyBorder="1" applyAlignment="1" applyProtection="1">
      <alignment horizontal="left"/>
      <protection/>
    </xf>
    <xf numFmtId="0" fontId="5" fillId="0" borderId="8" xfId="0" applyFont="1" applyFill="1" applyBorder="1" applyAlignment="1" applyProtection="1">
      <alignment horizontal="left"/>
      <protection/>
    </xf>
    <xf numFmtId="0" fontId="6" fillId="0" borderId="32" xfId="0" applyFont="1" applyBorder="1" applyAlignment="1" applyProtection="1">
      <alignment/>
      <protection/>
    </xf>
    <xf numFmtId="0" fontId="6" fillId="0" borderId="33" xfId="0" applyFont="1" applyBorder="1" applyAlignment="1" applyProtection="1">
      <alignment/>
      <protection/>
    </xf>
    <xf numFmtId="0" fontId="6" fillId="0" borderId="33" xfId="0" applyFont="1" applyBorder="1" applyAlignment="1" applyProtection="1">
      <alignment wrapText="1"/>
      <protection/>
    </xf>
    <xf numFmtId="0" fontId="6" fillId="0" borderId="6" xfId="0" applyFont="1" applyFill="1" applyBorder="1" applyAlignment="1" applyProtection="1">
      <alignment horizontal="center"/>
      <protection/>
    </xf>
    <xf numFmtId="0" fontId="6" fillId="0" borderId="34" xfId="0" applyFont="1" applyFill="1" applyBorder="1" applyAlignment="1" applyProtection="1">
      <alignment/>
      <protection locked="0"/>
    </xf>
    <xf numFmtId="0" fontId="6" fillId="0" borderId="35" xfId="0" applyFont="1" applyFill="1" applyBorder="1" applyAlignment="1" applyProtection="1">
      <alignment horizontal="center"/>
      <protection/>
    </xf>
    <xf numFmtId="0" fontId="6" fillId="0" borderId="35" xfId="0" applyFont="1" applyFill="1" applyBorder="1" applyAlignment="1" applyProtection="1">
      <alignment horizontal="center"/>
      <protection locked="0"/>
    </xf>
    <xf numFmtId="0" fontId="6" fillId="0" borderId="36" xfId="0" applyFont="1" applyFill="1" applyBorder="1" applyAlignment="1" applyProtection="1">
      <alignment/>
      <protection/>
    </xf>
    <xf numFmtId="0" fontId="8" fillId="0" borderId="7" xfId="0" applyFont="1" applyFill="1" applyBorder="1" applyAlignment="1" applyProtection="1">
      <alignment horizontal="center"/>
      <protection locked="0"/>
    </xf>
    <xf numFmtId="0" fontId="8" fillId="0" borderId="7" xfId="0" applyFont="1" applyFill="1" applyBorder="1" applyAlignment="1" applyProtection="1">
      <alignment/>
      <protection locked="0"/>
    </xf>
    <xf numFmtId="0" fontId="8" fillId="0" borderId="0" xfId="0" applyFont="1" applyFill="1" applyAlignment="1" applyProtection="1">
      <alignment horizontal="right"/>
      <protection locked="0"/>
    </xf>
    <xf numFmtId="3" fontId="5" fillId="0" borderId="37" xfId="0" applyNumberFormat="1" applyFont="1" applyFill="1" applyBorder="1" applyAlignment="1" applyProtection="1">
      <alignment/>
      <protection/>
    </xf>
    <xf numFmtId="0" fontId="8" fillId="0" borderId="26" xfId="0" applyFont="1" applyFill="1" applyBorder="1" applyAlignment="1" applyProtection="1">
      <alignment horizontal="right"/>
      <protection locked="0"/>
    </xf>
    <xf numFmtId="0" fontId="8" fillId="0" borderId="7" xfId="0" applyFont="1" applyFill="1" applyBorder="1" applyAlignment="1" applyProtection="1">
      <alignment horizontal="right"/>
      <protection locked="0"/>
    </xf>
    <xf numFmtId="0" fontId="0" fillId="0" borderId="0" xfId="0" applyFill="1" applyBorder="1" applyAlignment="1" applyProtection="1">
      <alignment/>
      <protection locked="0"/>
    </xf>
    <xf numFmtId="0" fontId="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right"/>
      <protection locked="0"/>
    </xf>
    <xf numFmtId="0" fontId="9" fillId="0" borderId="0" xfId="0" applyFont="1" applyFill="1" applyBorder="1" applyAlignment="1" applyProtection="1">
      <alignment/>
      <protection locked="0"/>
    </xf>
    <xf numFmtId="0" fontId="5" fillId="0" borderId="38" xfId="0" applyFont="1" applyFill="1" applyBorder="1" applyAlignment="1" applyProtection="1">
      <alignment/>
      <protection locked="0"/>
    </xf>
    <xf numFmtId="0" fontId="5" fillId="0" borderId="38" xfId="0" applyFont="1" applyFill="1" applyBorder="1" applyAlignment="1" applyProtection="1">
      <alignment/>
      <protection locked="0"/>
    </xf>
    <xf numFmtId="3" fontId="5" fillId="0" borderId="38" xfId="0" applyNumberFormat="1" applyFont="1" applyFill="1" applyBorder="1" applyAlignment="1" applyProtection="1">
      <alignment horizontal="center"/>
      <protection locked="0"/>
    </xf>
    <xf numFmtId="0" fontId="0" fillId="0" borderId="38" xfId="0"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8" fillId="0" borderId="39" xfId="0" applyFont="1" applyFill="1" applyBorder="1" applyAlignment="1" applyProtection="1">
      <alignment horizontal="center" vertical="center"/>
      <protection locked="0"/>
    </xf>
    <xf numFmtId="0" fontId="5" fillId="0" borderId="0" xfId="0" applyFont="1" applyFill="1" applyAlignment="1" applyProtection="1">
      <alignment horizontal="right"/>
      <protection locked="0"/>
    </xf>
    <xf numFmtId="3" fontId="5" fillId="0" borderId="39" xfId="0" applyNumberFormat="1" applyFont="1" applyFill="1" applyBorder="1" applyAlignment="1" applyProtection="1">
      <alignment/>
      <protection/>
    </xf>
    <xf numFmtId="0" fontId="5"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8" fillId="0" borderId="0" xfId="0" applyFont="1" applyFill="1" applyAlignment="1" applyProtection="1">
      <alignment horizontal="center" vertical="center"/>
      <protection/>
    </xf>
    <xf numFmtId="0" fontId="5" fillId="0" borderId="4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protection/>
    </xf>
    <xf numFmtId="0" fontId="6" fillId="0" borderId="8" xfId="0" applyFont="1" applyFill="1" applyBorder="1" applyAlignment="1" applyProtection="1">
      <alignment horizontal="center"/>
      <protection/>
    </xf>
    <xf numFmtId="0" fontId="6" fillId="0" borderId="18" xfId="0" applyFont="1" applyFill="1" applyBorder="1" applyAlignment="1" applyProtection="1">
      <alignment/>
      <protection locked="0"/>
    </xf>
    <xf numFmtId="0" fontId="6" fillId="0" borderId="6" xfId="0" applyFont="1" applyFill="1" applyBorder="1" applyAlignment="1" applyProtection="1">
      <alignment/>
      <protection locked="0"/>
    </xf>
    <xf numFmtId="0" fontId="6" fillId="0" borderId="41" xfId="0" applyFont="1" applyFill="1" applyBorder="1" applyAlignment="1" applyProtection="1">
      <alignment/>
      <protection/>
    </xf>
    <xf numFmtId="0" fontId="8" fillId="0" borderId="21" xfId="0" applyFont="1" applyFill="1" applyBorder="1" applyAlignment="1" applyProtection="1">
      <alignment vertical="center"/>
      <protection locked="0"/>
    </xf>
    <xf numFmtId="0" fontId="6" fillId="0" borderId="0" xfId="0" applyFont="1" applyFill="1" applyAlignment="1" applyProtection="1">
      <alignment horizontal="center" vertical="top" wrapText="1"/>
      <protection locked="0"/>
    </xf>
    <xf numFmtId="0" fontId="5" fillId="0" borderId="42" xfId="0" applyFont="1" applyFill="1" applyBorder="1" applyAlignment="1" applyProtection="1">
      <alignment horizontal="center" vertical="top" wrapText="1"/>
      <protection locked="0"/>
    </xf>
    <xf numFmtId="0" fontId="14" fillId="0" borderId="0" xfId="0" applyFont="1" applyFill="1" applyBorder="1" applyAlignment="1" applyProtection="1">
      <alignment vertical="center"/>
      <protection hidden="1"/>
    </xf>
    <xf numFmtId="3" fontId="6" fillId="0" borderId="43" xfId="0" applyNumberFormat="1" applyFont="1" applyFill="1" applyBorder="1" applyAlignment="1" applyProtection="1">
      <alignment horizontal="center"/>
      <protection/>
    </xf>
    <xf numFmtId="3" fontId="6" fillId="0" borderId="44" xfId="0" applyNumberFormat="1" applyFont="1" applyFill="1" applyBorder="1" applyAlignment="1" applyProtection="1">
      <alignment horizontal="center"/>
      <protection/>
    </xf>
    <xf numFmtId="3" fontId="6" fillId="0" borderId="23" xfId="0" applyNumberFormat="1" applyFont="1" applyFill="1" applyBorder="1" applyAlignment="1" applyProtection="1">
      <alignment horizontal="right"/>
      <protection locked="0"/>
    </xf>
    <xf numFmtId="3" fontId="6" fillId="0" borderId="45" xfId="0" applyNumberFormat="1" applyFont="1" applyFill="1" applyBorder="1" applyAlignment="1" applyProtection="1">
      <alignment horizontal="right"/>
      <protection locked="0"/>
    </xf>
    <xf numFmtId="3" fontId="6" fillId="0" borderId="31" xfId="0" applyNumberFormat="1" applyFont="1" applyFill="1" applyBorder="1" applyAlignment="1" applyProtection="1">
      <alignment horizontal="right"/>
      <protection/>
    </xf>
    <xf numFmtId="3" fontId="6" fillId="0" borderId="8" xfId="0" applyNumberFormat="1" applyFont="1" applyFill="1" applyBorder="1" applyAlignment="1" applyProtection="1">
      <alignment horizontal="right"/>
      <protection/>
    </xf>
    <xf numFmtId="169" fontId="6" fillId="0" borderId="8" xfId="0" applyNumberFormat="1" applyFont="1" applyFill="1" applyBorder="1" applyAlignment="1" applyProtection="1">
      <alignment horizontal="right"/>
      <protection/>
    </xf>
    <xf numFmtId="3" fontId="6" fillId="0" borderId="46" xfId="0" applyNumberFormat="1" applyFont="1" applyFill="1" applyBorder="1" applyAlignment="1" applyProtection="1">
      <alignment horizontal="right"/>
      <protection/>
    </xf>
    <xf numFmtId="0" fontId="5" fillId="0" borderId="35" xfId="0" applyFont="1" applyFill="1" applyBorder="1" applyAlignment="1" applyProtection="1">
      <alignment horizontal="right"/>
      <protection/>
    </xf>
    <xf numFmtId="0" fontId="5" fillId="0" borderId="6" xfId="0" applyFont="1" applyFill="1" applyBorder="1" applyAlignment="1" applyProtection="1">
      <alignment horizontal="right"/>
      <protection/>
    </xf>
    <xf numFmtId="0" fontId="6" fillId="0" borderId="36" xfId="0" applyFont="1" applyFill="1" applyBorder="1" applyAlignment="1" applyProtection="1">
      <alignment horizontal="left"/>
      <protection/>
    </xf>
    <xf numFmtId="0" fontId="6" fillId="0" borderId="15" xfId="0" applyFont="1" applyFill="1" applyBorder="1" applyAlignment="1" applyProtection="1">
      <alignment horizontal="left"/>
      <protection/>
    </xf>
    <xf numFmtId="3" fontId="6" fillId="0" borderId="35" xfId="0" applyNumberFormat="1" applyFont="1" applyFill="1" applyBorder="1" applyAlignment="1" applyProtection="1">
      <alignment horizontal="left"/>
      <protection/>
    </xf>
    <xf numFmtId="3" fontId="6" fillId="0" borderId="6" xfId="0" applyNumberFormat="1" applyFont="1" applyFill="1" applyBorder="1" applyAlignment="1" applyProtection="1">
      <alignment horizontal="left"/>
      <protection/>
    </xf>
    <xf numFmtId="3" fontId="6" fillId="0" borderId="18" xfId="0" applyNumberFormat="1" applyFont="1" applyFill="1" applyBorder="1" applyAlignment="1" applyProtection="1">
      <alignment horizontal="center"/>
      <protection/>
    </xf>
    <xf numFmtId="10" fontId="0" fillId="0" borderId="0" xfId="0" applyNumberFormat="1" applyFill="1" applyBorder="1" applyAlignment="1" applyProtection="1">
      <alignment/>
      <protection locked="0"/>
    </xf>
    <xf numFmtId="0" fontId="17" fillId="0" borderId="0" xfId="23" applyFont="1" applyProtection="1">
      <alignment/>
      <protection locked="0"/>
    </xf>
    <xf numFmtId="0" fontId="15" fillId="0" borderId="0" xfId="23" applyProtection="1">
      <alignment/>
      <protection locked="0"/>
    </xf>
    <xf numFmtId="3" fontId="15" fillId="0" borderId="0" xfId="23" applyNumberFormat="1" applyProtection="1">
      <alignment/>
      <protection locked="0"/>
    </xf>
    <xf numFmtId="3" fontId="8" fillId="0" borderId="0" xfId="23" applyNumberFormat="1" applyFont="1" applyBorder="1" applyAlignment="1" applyProtection="1">
      <alignment horizontal="center"/>
      <protection locked="0"/>
    </xf>
    <xf numFmtId="3" fontId="8" fillId="0" borderId="0" xfId="23" applyNumberFormat="1" applyFont="1" applyAlignment="1" applyProtection="1">
      <alignment horizontal="center"/>
      <protection locked="0"/>
    </xf>
    <xf numFmtId="0" fontId="15" fillId="0" borderId="0" xfId="23" applyAlignment="1" applyProtection="1">
      <alignment wrapText="1"/>
      <protection locked="0"/>
    </xf>
    <xf numFmtId="1" fontId="15" fillId="0" borderId="0" xfId="23" applyNumberFormat="1" applyProtection="1">
      <alignment/>
      <protection locked="0"/>
    </xf>
    <xf numFmtId="172" fontId="15" fillId="0" borderId="0" xfId="23" applyNumberFormat="1" applyProtection="1">
      <alignment/>
      <protection locked="0"/>
    </xf>
    <xf numFmtId="3" fontId="15" fillId="0" borderId="0" xfId="23" applyNumberFormat="1" applyAlignment="1" applyProtection="1">
      <alignment/>
      <protection locked="0"/>
    </xf>
    <xf numFmtId="0" fontId="5" fillId="0" borderId="0" xfId="23" applyFont="1" applyAlignment="1" applyProtection="1">
      <alignment wrapText="1"/>
      <protection locked="0"/>
    </xf>
    <xf numFmtId="0" fontId="15" fillId="0" borderId="0" xfId="23" applyBorder="1" applyProtection="1">
      <alignment/>
      <protection locked="0"/>
    </xf>
    <xf numFmtId="172" fontId="15" fillId="0" borderId="0" xfId="23" applyNumberFormat="1" applyBorder="1" applyProtection="1">
      <alignment/>
      <protection locked="0"/>
    </xf>
    <xf numFmtId="0" fontId="15" fillId="0" borderId="0" xfId="23" applyBorder="1" applyAlignment="1" applyProtection="1">
      <alignment/>
      <protection locked="0"/>
    </xf>
    <xf numFmtId="0" fontId="15" fillId="0" borderId="0" xfId="23" applyAlignment="1" applyProtection="1">
      <alignment/>
      <protection locked="0"/>
    </xf>
    <xf numFmtId="0" fontId="15" fillId="0" borderId="0" xfId="0" applyNumberFormat="1" applyFont="1" applyFill="1" applyBorder="1" applyAlignment="1" applyProtection="1">
      <alignment horizontal="left" vertical="center" wrapText="1"/>
      <protection locked="0"/>
    </xf>
    <xf numFmtId="0" fontId="15" fillId="0" borderId="0" xfId="0" applyFont="1" applyFill="1" applyBorder="1" applyAlignment="1">
      <alignment horizontal="left" vertical="center" wrapText="1"/>
    </xf>
    <xf numFmtId="0" fontId="15" fillId="0" borderId="0" xfId="22" applyFont="1" applyFill="1" applyBorder="1">
      <alignment/>
      <protection/>
    </xf>
    <xf numFmtId="0" fontId="15" fillId="0" borderId="0" xfId="22" applyFont="1" applyFill="1" applyBorder="1" applyAlignment="1">
      <alignment vertical="center" wrapText="1"/>
      <protection/>
    </xf>
    <xf numFmtId="0" fontId="15" fillId="0" borderId="0" xfId="22" applyFont="1" applyFill="1" applyBorder="1" applyAlignment="1">
      <alignment wrapText="1"/>
      <protection/>
    </xf>
    <xf numFmtId="0" fontId="15" fillId="0" borderId="0" xfId="22" applyFont="1" applyFill="1" applyBorder="1" applyAlignment="1">
      <alignment horizontal="center"/>
      <protection/>
    </xf>
    <xf numFmtId="171" fontId="15" fillId="0" borderId="0" xfId="22" applyNumberFormat="1" applyFont="1" applyFill="1" applyBorder="1">
      <alignment/>
      <protection/>
    </xf>
    <xf numFmtId="0" fontId="15" fillId="0" borderId="0" xfId="0" applyFont="1" applyFill="1" applyBorder="1" applyAlignment="1">
      <alignment horizontal="center" vertical="center"/>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0" fontId="15" fillId="0" borderId="0" xfId="22" applyFont="1" applyFill="1" applyBorder="1" applyAlignment="1">
      <alignment vertical="center"/>
      <protection/>
    </xf>
    <xf numFmtId="0" fontId="15" fillId="0" borderId="0" xfId="22" applyFont="1" applyFill="1" applyBorder="1" applyAlignment="1">
      <alignment horizontal="center" vertical="center"/>
      <protection/>
    </xf>
    <xf numFmtId="171" fontId="15" fillId="0" borderId="0" xfId="22" applyNumberFormat="1" applyFont="1" applyFill="1" applyBorder="1" applyAlignment="1">
      <alignment vertical="center"/>
      <protection/>
    </xf>
    <xf numFmtId="49" fontId="15" fillId="0" borderId="0" xfId="22" applyNumberFormat="1" applyFont="1" applyFill="1" applyBorder="1" applyAlignment="1">
      <alignment horizontal="left" vertical="center" wrapText="1"/>
      <protection/>
    </xf>
    <xf numFmtId="49" fontId="15"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5" fillId="0" borderId="0" xfId="0" applyNumberFormat="1" applyFont="1" applyFill="1" applyBorder="1" applyAlignment="1">
      <alignment horizontal="left" vertical="center" wrapText="1"/>
    </xf>
    <xf numFmtId="0" fontId="15" fillId="0" borderId="0" xfId="0" applyNumberFormat="1" applyFont="1" applyFill="1" applyBorder="1" applyAlignment="1">
      <alignment vertical="center" wrapText="1"/>
    </xf>
    <xf numFmtId="0" fontId="15" fillId="0" borderId="0" xfId="22" applyFont="1" applyFill="1" applyBorder="1" applyAlignment="1">
      <alignment/>
      <protection/>
    </xf>
    <xf numFmtId="0" fontId="15" fillId="0" borderId="0" xfId="22" applyFont="1" applyFill="1" applyBorder="1" applyAlignment="1">
      <alignment horizontal="left" vertical="center"/>
      <protection/>
    </xf>
    <xf numFmtId="0" fontId="15" fillId="0" borderId="0" xfId="0" applyFont="1" applyFill="1" applyBorder="1" applyAlignment="1">
      <alignment horizontal="left" vertical="center"/>
    </xf>
    <xf numFmtId="0" fontId="15" fillId="0" borderId="0" xfId="22" applyFont="1" applyFill="1" applyBorder="1" applyAlignment="1">
      <alignment horizontal="left"/>
      <protection/>
    </xf>
    <xf numFmtId="0" fontId="6" fillId="0" borderId="46" xfId="0" applyFont="1" applyBorder="1" applyAlignment="1" applyProtection="1">
      <alignment/>
      <protection/>
    </xf>
    <xf numFmtId="0" fontId="6" fillId="0" borderId="46" xfId="0" applyFont="1" applyBorder="1" applyAlignment="1" applyProtection="1">
      <alignment wrapText="1"/>
      <protection/>
    </xf>
    <xf numFmtId="0" fontId="6" fillId="0" borderId="17" xfId="0" applyFont="1" applyBorder="1" applyAlignment="1" applyProtection="1">
      <alignment wrapText="1"/>
      <protection locked="0"/>
    </xf>
    <xf numFmtId="170" fontId="15" fillId="0" borderId="0" xfId="0" applyNumberFormat="1" applyFont="1" applyFill="1" applyBorder="1" applyAlignment="1">
      <alignment vertical="center"/>
    </xf>
    <xf numFmtId="170" fontId="15" fillId="0" borderId="0" xfId="0" applyNumberFormat="1" applyFont="1" applyFill="1" applyBorder="1" applyAlignment="1">
      <alignment horizontal="right" vertical="center"/>
    </xf>
    <xf numFmtId="170" fontId="15" fillId="0" borderId="0" xfId="22" applyNumberFormat="1" applyFont="1" applyFill="1" applyBorder="1" applyAlignment="1">
      <alignment horizontal="right" vertical="center"/>
      <protection/>
    </xf>
    <xf numFmtId="170" fontId="15" fillId="0" borderId="0" xfId="22" applyNumberFormat="1" applyFont="1" applyFill="1" applyBorder="1" applyAlignment="1">
      <alignment horizontal="right" vertical="center" wrapText="1"/>
      <protection/>
    </xf>
    <xf numFmtId="0" fontId="5" fillId="0" borderId="35" xfId="23" applyFont="1" applyBorder="1" applyAlignment="1" applyProtection="1">
      <alignment wrapText="1"/>
      <protection locked="0"/>
    </xf>
    <xf numFmtId="3" fontId="5" fillId="0" borderId="35" xfId="23" applyNumberFormat="1" applyFont="1" applyBorder="1" applyAlignment="1" applyProtection="1">
      <alignment wrapText="1"/>
      <protection locked="0"/>
    </xf>
    <xf numFmtId="1" fontId="5" fillId="0" borderId="35" xfId="23" applyNumberFormat="1" applyFont="1" applyBorder="1" applyAlignment="1" applyProtection="1">
      <alignment wrapText="1"/>
      <protection locked="0"/>
    </xf>
    <xf numFmtId="172" fontId="5" fillId="0" borderId="35" xfId="23" applyNumberFormat="1" applyFont="1" applyBorder="1" applyAlignment="1" applyProtection="1">
      <alignment wrapText="1"/>
      <protection locked="0"/>
    </xf>
    <xf numFmtId="0" fontId="6" fillId="0" borderId="34" xfId="0" applyFont="1" applyFill="1" applyBorder="1" applyAlignment="1" applyProtection="1">
      <alignment horizontal="left"/>
      <protection/>
    </xf>
    <xf numFmtId="0" fontId="6" fillId="0" borderId="17" xfId="0" applyFont="1" applyFill="1" applyBorder="1" applyAlignment="1" applyProtection="1">
      <alignment horizontal="left"/>
      <protection/>
    </xf>
    <xf numFmtId="0" fontId="6" fillId="0" borderId="47" xfId="0" applyFont="1" applyFill="1" applyBorder="1" applyAlignment="1" applyProtection="1">
      <alignment horizontal="left"/>
      <protection/>
    </xf>
    <xf numFmtId="0" fontId="6" fillId="0" borderId="46" xfId="0" applyFont="1" applyBorder="1" applyAlignment="1" applyProtection="1">
      <alignment horizontal="left"/>
      <protection/>
    </xf>
    <xf numFmtId="0" fontId="6" fillId="0" borderId="8" xfId="0" applyFont="1" applyBorder="1" applyAlignment="1" applyProtection="1">
      <alignment horizontal="left"/>
      <protection/>
    </xf>
    <xf numFmtId="0" fontId="6" fillId="0" borderId="8" xfId="0" applyFont="1" applyFill="1" applyBorder="1" applyAlignment="1" applyProtection="1">
      <alignment horizontal="left"/>
      <protection/>
    </xf>
    <xf numFmtId="0" fontId="0" fillId="0" borderId="34"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6" fillId="0" borderId="48" xfId="0" applyFont="1" applyFill="1" applyBorder="1" applyAlignment="1" applyProtection="1">
      <alignment horizontal="center"/>
      <protection/>
    </xf>
    <xf numFmtId="0" fontId="6" fillId="0" borderId="44" xfId="0" applyFont="1" applyFill="1" applyBorder="1" applyAlignment="1" applyProtection="1">
      <alignment horizontal="center"/>
      <protection/>
    </xf>
    <xf numFmtId="0" fontId="7" fillId="0" borderId="35" xfId="22" applyFont="1" applyFill="1" applyBorder="1" applyAlignment="1">
      <alignment horizontal="left" wrapText="1"/>
      <protection/>
    </xf>
    <xf numFmtId="0" fontId="7" fillId="0" borderId="35" xfId="22" applyFont="1" applyFill="1" applyBorder="1" applyAlignment="1">
      <alignment wrapText="1"/>
      <protection/>
    </xf>
    <xf numFmtId="171" fontId="7" fillId="0" borderId="35" xfId="22" applyNumberFormat="1" applyFont="1" applyFill="1" applyBorder="1" applyAlignment="1">
      <alignment wrapText="1"/>
      <protection/>
    </xf>
    <xf numFmtId="172" fontId="7" fillId="0" borderId="35" xfId="22" applyNumberFormat="1" applyFont="1" applyFill="1" applyBorder="1" applyAlignment="1">
      <alignment horizontal="right" wrapText="1"/>
      <protection/>
    </xf>
    <xf numFmtId="172" fontId="15" fillId="0" borderId="0" xfId="22" applyNumberFormat="1" applyFont="1" applyFill="1" applyBorder="1" applyAlignment="1">
      <alignment horizontal="right" vertical="center" wrapText="1"/>
      <protection/>
    </xf>
    <xf numFmtId="172" fontId="15" fillId="0" borderId="0" xfId="0" applyNumberFormat="1" applyFont="1" applyFill="1" applyBorder="1" applyAlignment="1">
      <alignment horizontal="right" vertical="center" wrapText="1"/>
    </xf>
    <xf numFmtId="172" fontId="15" fillId="0" borderId="0" xfId="22" applyNumberFormat="1" applyFont="1" applyFill="1" applyBorder="1" applyAlignment="1">
      <alignment horizontal="right" wrapText="1"/>
      <protection/>
    </xf>
    <xf numFmtId="0" fontId="17" fillId="0" borderId="0" xfId="23" applyFont="1" applyAlignment="1" applyProtection="1">
      <alignment vertical="top"/>
      <protection locked="0"/>
    </xf>
    <xf numFmtId="0" fontId="15" fillId="0" borderId="0" xfId="23" applyAlignment="1" applyProtection="1">
      <alignment vertical="top"/>
      <protection locked="0"/>
    </xf>
    <xf numFmtId="3" fontId="15" fillId="0" borderId="0" xfId="23" applyNumberFormat="1" applyAlignment="1" applyProtection="1">
      <alignment vertical="top"/>
      <protection locked="0"/>
    </xf>
    <xf numFmtId="1" fontId="8" fillId="0" borderId="0" xfId="23" applyNumberFormat="1" applyFont="1" applyAlignment="1" applyProtection="1">
      <alignment horizontal="right" vertical="top"/>
      <protection locked="0"/>
    </xf>
    <xf numFmtId="1" fontId="8" fillId="0" borderId="0" xfId="23" applyNumberFormat="1" applyFont="1" applyBorder="1" applyAlignment="1" applyProtection="1">
      <alignment horizontal="right" vertical="top"/>
      <protection locked="0"/>
    </xf>
    <xf numFmtId="172" fontId="5" fillId="0" borderId="0" xfId="23" applyNumberFormat="1" applyFont="1" applyBorder="1" applyAlignment="1" applyProtection="1">
      <alignment vertical="top" wrapText="1"/>
      <protection/>
    </xf>
    <xf numFmtId="3" fontId="5" fillId="0" borderId="0" xfId="23" applyNumberFormat="1" applyFont="1" applyBorder="1" applyAlignment="1" applyProtection="1">
      <alignment horizontal="center" vertical="top" wrapText="1"/>
      <protection locked="0"/>
    </xf>
    <xf numFmtId="3" fontId="8" fillId="0" borderId="0" xfId="23" applyNumberFormat="1" applyFont="1" applyAlignment="1" applyProtection="1">
      <alignment horizontal="center" vertical="top"/>
      <protection locked="0"/>
    </xf>
    <xf numFmtId="0" fontId="15" fillId="0" borderId="0" xfId="23" applyAlignment="1" applyProtection="1">
      <alignment vertical="top" wrapText="1"/>
      <protection locked="0"/>
    </xf>
    <xf numFmtId="172" fontId="8" fillId="0" borderId="0" xfId="23" applyNumberFormat="1" applyFont="1" applyBorder="1" applyAlignment="1" applyProtection="1">
      <alignment horizontal="center"/>
      <protection/>
    </xf>
    <xf numFmtId="0" fontId="0" fillId="0" borderId="0" xfId="23" applyFont="1" applyAlignment="1" applyProtection="1">
      <alignment wrapText="1"/>
      <protection/>
    </xf>
    <xf numFmtId="0" fontId="0" fillId="0" borderId="0" xfId="23" applyFont="1" applyProtection="1">
      <alignment/>
      <protection/>
    </xf>
    <xf numFmtId="3" fontId="0" fillId="0" borderId="0" xfId="23" applyNumberFormat="1" applyFont="1" applyAlignment="1" applyProtection="1">
      <alignment wrapText="1"/>
      <protection/>
    </xf>
    <xf numFmtId="1" fontId="0" fillId="0" borderId="0" xfId="23" applyNumberFormat="1" applyFont="1" applyProtection="1">
      <alignment/>
      <protection/>
    </xf>
    <xf numFmtId="172" fontId="0" fillId="0" borderId="0" xfId="23" applyNumberFormat="1" applyFont="1" applyProtection="1">
      <alignment/>
      <protection/>
    </xf>
    <xf numFmtId="172" fontId="0" fillId="0" borderId="0" xfId="23" applyNumberFormat="1" applyFont="1" applyBorder="1" applyProtection="1">
      <alignment/>
      <protection/>
    </xf>
    <xf numFmtId="3" fontId="0" fillId="0" borderId="0" xfId="23" applyNumberFormat="1" applyFont="1" applyBorder="1" applyProtection="1">
      <alignment/>
      <protection/>
    </xf>
    <xf numFmtId="3" fontId="0" fillId="0" borderId="0" xfId="23" applyNumberFormat="1" applyFont="1" applyBorder="1" applyAlignment="1" applyProtection="1">
      <alignment/>
      <protection locked="0"/>
    </xf>
    <xf numFmtId="0" fontId="0" fillId="0" borderId="0" xfId="23" applyFont="1" applyProtection="1">
      <alignment/>
      <protection locked="0"/>
    </xf>
    <xf numFmtId="3" fontId="5" fillId="0" borderId="49" xfId="23" applyNumberFormat="1" applyFont="1" applyBorder="1" applyAlignment="1" applyProtection="1">
      <alignment wrapText="1"/>
      <protection locked="0"/>
    </xf>
    <xf numFmtId="3" fontId="0" fillId="0" borderId="50" xfId="23" applyNumberFormat="1" applyFont="1" applyBorder="1" applyProtection="1">
      <alignment/>
      <protection locked="0"/>
    </xf>
    <xf numFmtId="3" fontId="0" fillId="0" borderId="51" xfId="23" applyNumberFormat="1" applyFont="1" applyBorder="1" applyProtection="1">
      <alignment/>
      <protection locked="0"/>
    </xf>
    <xf numFmtId="172" fontId="8" fillId="0" borderId="52" xfId="23" applyNumberFormat="1" applyFont="1" applyBorder="1" applyAlignment="1" applyProtection="1">
      <alignment horizontal="center"/>
      <protection/>
    </xf>
    <xf numFmtId="1" fontId="8" fillId="0" borderId="0" xfId="23" applyNumberFormat="1" applyFont="1" applyAlignment="1" applyProtection="1">
      <alignment horizontal="right"/>
      <protection locked="0"/>
    </xf>
    <xf numFmtId="1" fontId="8" fillId="0" borderId="0" xfId="23" applyNumberFormat="1" applyFont="1" applyBorder="1" applyAlignment="1" applyProtection="1">
      <alignment horizontal="right"/>
      <protection locked="0"/>
    </xf>
    <xf numFmtId="0" fontId="12" fillId="0" borderId="0" xfId="0" applyFont="1" applyFill="1" applyBorder="1" applyAlignment="1" applyProtection="1">
      <alignment horizontal="center"/>
      <protection locked="0"/>
    </xf>
    <xf numFmtId="0" fontId="5" fillId="0" borderId="42" xfId="0" applyFont="1" applyFill="1" applyBorder="1" applyAlignment="1" applyProtection="1">
      <alignment horizontal="center" vertical="top" wrapText="1"/>
      <protection locked="0"/>
    </xf>
    <xf numFmtId="0" fontId="5" fillId="0" borderId="53" xfId="0" applyFont="1" applyFill="1" applyBorder="1" applyAlignment="1" applyProtection="1">
      <alignment horizontal="center" vertical="top" wrapText="1"/>
      <protection locked="0"/>
    </xf>
    <xf numFmtId="3" fontId="8" fillId="0" borderId="54" xfId="0" applyNumberFormat="1" applyFont="1" applyFill="1" applyBorder="1" applyAlignment="1" applyProtection="1">
      <alignment horizontal="center" vertical="center"/>
      <protection locked="0"/>
    </xf>
    <xf numFmtId="3" fontId="8" fillId="0" borderId="37"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top" wrapText="1"/>
      <protection locked="0"/>
    </xf>
    <xf numFmtId="0" fontId="8" fillId="0" borderId="7" xfId="0" applyFont="1" applyFill="1" applyBorder="1" applyAlignment="1" applyProtection="1">
      <alignment horizontal="center"/>
      <protection locked="0"/>
    </xf>
    <xf numFmtId="0" fontId="5" fillId="0" borderId="0" xfId="0" applyFont="1" applyFill="1" applyBorder="1" applyAlignment="1" applyProtection="1">
      <alignment horizontal="left" vertical="center" wrapText="1"/>
      <protection locked="0"/>
    </xf>
    <xf numFmtId="0" fontId="6" fillId="0" borderId="8" xfId="0" applyFont="1" applyBorder="1" applyAlignment="1" applyProtection="1">
      <alignment horizontal="left" wrapText="1"/>
      <protection/>
    </xf>
    <xf numFmtId="0" fontId="6" fillId="0" borderId="6" xfId="0" applyFont="1" applyBorder="1" applyAlignment="1" applyProtection="1">
      <alignment horizontal="left" wrapText="1"/>
      <protection/>
    </xf>
    <xf numFmtId="0" fontId="5" fillId="0" borderId="55" xfId="0" applyFont="1" applyFill="1" applyBorder="1" applyAlignment="1" applyProtection="1">
      <alignment horizontal="center" wrapText="1"/>
      <protection locked="0"/>
    </xf>
    <xf numFmtId="0" fontId="5" fillId="0" borderId="56" xfId="0" applyFont="1" applyFill="1" applyBorder="1" applyAlignment="1" applyProtection="1">
      <alignment horizontal="center" wrapText="1"/>
      <protection locked="0"/>
    </xf>
    <xf numFmtId="0" fontId="5" fillId="0" borderId="1" xfId="0" applyFont="1" applyFill="1" applyBorder="1" applyAlignment="1" applyProtection="1">
      <alignment horizontal="center" wrapText="1"/>
      <protection locked="0"/>
    </xf>
    <xf numFmtId="0" fontId="5" fillId="0" borderId="2" xfId="0" applyFont="1" applyFill="1" applyBorder="1" applyAlignment="1" applyProtection="1">
      <alignment horizontal="center" wrapText="1"/>
      <protection locked="0"/>
    </xf>
    <xf numFmtId="0" fontId="5" fillId="0" borderId="57" xfId="0" applyFont="1" applyFill="1" applyBorder="1" applyAlignment="1" applyProtection="1">
      <alignment horizontal="center" wrapText="1"/>
      <protection locked="0"/>
    </xf>
    <xf numFmtId="0" fontId="5" fillId="0" borderId="58" xfId="0" applyFont="1" applyFill="1" applyBorder="1" applyAlignment="1" applyProtection="1">
      <alignment horizontal="center" wrapText="1"/>
      <protection locked="0"/>
    </xf>
    <xf numFmtId="0" fontId="5" fillId="0" borderId="18" xfId="0" applyFont="1" applyFill="1" applyBorder="1" applyAlignment="1" applyProtection="1">
      <alignment horizontal="center" wrapText="1"/>
      <protection locked="0"/>
    </xf>
    <xf numFmtId="0" fontId="5" fillId="0" borderId="59" xfId="0" applyFont="1" applyFill="1" applyBorder="1" applyAlignment="1" applyProtection="1">
      <alignment horizontal="center" wrapText="1"/>
      <protection locked="0"/>
    </xf>
    <xf numFmtId="0" fontId="5" fillId="0" borderId="60" xfId="0" applyFont="1" applyFill="1" applyBorder="1" applyAlignment="1" applyProtection="1">
      <alignment horizontal="center" wrapText="1"/>
      <protection locked="0"/>
    </xf>
    <xf numFmtId="0" fontId="5" fillId="0" borderId="61" xfId="0" applyFont="1" applyFill="1" applyBorder="1" applyAlignment="1" applyProtection="1">
      <alignment horizontal="center" wrapText="1"/>
      <protection locked="0"/>
    </xf>
    <xf numFmtId="0" fontId="5" fillId="0" borderId="62" xfId="0" applyFont="1" applyFill="1" applyBorder="1" applyAlignment="1" applyProtection="1">
      <alignment horizontal="center" wrapText="1"/>
      <protection locked="0"/>
    </xf>
    <xf numFmtId="0" fontId="11" fillId="0" borderId="0" xfId="0" applyFont="1" applyFill="1" applyAlignment="1" applyProtection="1">
      <alignment horizontal="center"/>
      <protection locked="0"/>
    </xf>
    <xf numFmtId="0" fontId="13" fillId="0" borderId="0" xfId="0" applyFont="1" applyFill="1" applyAlignment="1" applyProtection="1">
      <alignment horizontal="center"/>
      <protection locked="0"/>
    </xf>
    <xf numFmtId="0" fontId="7" fillId="0" borderId="0" xfId="22" applyFont="1" applyFill="1" applyBorder="1" applyAlignment="1">
      <alignment horizontal="center" vertical="center" wrapText="1"/>
      <protection/>
    </xf>
    <xf numFmtId="0" fontId="12" fillId="0" borderId="0" xfId="0" applyFont="1" applyFill="1" applyAlignment="1" applyProtection="1">
      <alignment horizontal="center"/>
      <protection locked="0"/>
    </xf>
    <xf numFmtId="0" fontId="6" fillId="0" borderId="4"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wrapText="1"/>
      <protection locked="0"/>
    </xf>
    <xf numFmtId="0" fontId="6" fillId="0" borderId="10" xfId="0" applyFont="1" applyBorder="1" applyAlignment="1" applyProtection="1">
      <alignment horizontal="center" vertical="top" wrapText="1"/>
      <protection locked="0"/>
    </xf>
  </cellXfs>
  <cellStyles count="12">
    <cellStyle name="Normal" xfId="0"/>
    <cellStyle name="Comma" xfId="15"/>
    <cellStyle name="Comma [0]" xfId="16"/>
    <cellStyle name="Currency" xfId="17"/>
    <cellStyle name="Currency [0]" xfId="18"/>
    <cellStyle name="Euro" xfId="19"/>
    <cellStyle name="Followed Hyperlink" xfId="20"/>
    <cellStyle name="Hyperlink" xfId="21"/>
    <cellStyle name="Normal_ChemicalsAVD_remAVD" xfId="22"/>
    <cellStyle name="Normal_CU&amp;DSTvs3" xfId="23"/>
    <cellStyle name="Percent" xfId="24"/>
    <cellStyle name="Standard_Consumables" xfId="25"/>
  </cellStyles>
  <dxfs count="2">
    <dxf>
      <font>
        <b/>
        <i val="0"/>
        <color rgb="FFFF99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127"/>
  <sheetViews>
    <sheetView tabSelected="1" zoomScale="64" zoomScaleNormal="64" workbookViewId="0" topLeftCell="A1">
      <selection activeCell="C11" sqref="C11"/>
    </sheetView>
  </sheetViews>
  <sheetFormatPr defaultColWidth="9.00390625" defaultRowHeight="14.25"/>
  <cols>
    <col min="1" max="1" width="37.375" style="142" customWidth="1"/>
    <col min="2" max="2" width="8.00390625" style="142" customWidth="1"/>
    <col min="3" max="3" width="8.875" style="142" customWidth="1"/>
    <col min="4" max="4" width="7.625" style="142" customWidth="1"/>
    <col min="5" max="5" width="13.00390625" style="143" customWidth="1"/>
    <col min="6" max="6" width="14.375" style="147" customWidth="1"/>
    <col min="7" max="7" width="10.50390625" style="142" customWidth="1"/>
    <col min="8" max="8" width="18.00390625" style="148" customWidth="1"/>
    <col min="9" max="9" width="14.25390625" style="142" customWidth="1"/>
    <col min="10" max="10" width="16.375" style="148" customWidth="1"/>
    <col min="11" max="11" width="9.75390625" style="142" customWidth="1"/>
    <col min="12" max="12" width="2.375" style="154" customWidth="1"/>
    <col min="13" max="13" width="7.625" style="142" customWidth="1"/>
    <col min="14" max="14" width="7.75390625" style="142" customWidth="1"/>
    <col min="15" max="15" width="66.75390625" style="146" customWidth="1"/>
    <col min="16" max="16384" width="8.00390625" style="142" customWidth="1"/>
  </cols>
  <sheetData>
    <row r="1" spans="1:17" ht="20.25">
      <c r="A1" s="141" t="s">
        <v>234</v>
      </c>
      <c r="F1" s="142"/>
      <c r="H1" s="142"/>
      <c r="J1" s="142"/>
      <c r="K1" s="145"/>
      <c r="L1" s="145"/>
      <c r="M1" s="145"/>
      <c r="N1" s="145"/>
      <c r="P1" s="145"/>
      <c r="Q1" s="145"/>
    </row>
    <row r="2" spans="9:14" ht="13.5" thickBot="1">
      <c r="I2" s="143"/>
      <c r="K2" s="143"/>
      <c r="L2" s="149"/>
      <c r="M2" s="143"/>
      <c r="N2" s="143"/>
    </row>
    <row r="3" spans="1:17" ht="21" thickBot="1">
      <c r="A3" s="141"/>
      <c r="F3" s="229" t="s">
        <v>235</v>
      </c>
      <c r="G3" s="230"/>
      <c r="H3" s="215">
        <f>SUBTOTAL(9,H6:H46)</f>
        <v>10007</v>
      </c>
      <c r="I3" s="144" t="s">
        <v>236</v>
      </c>
      <c r="J3" s="228">
        <f>SUBTOTAL(9,J6:J46)</f>
        <v>11390</v>
      </c>
      <c r="K3" s="145"/>
      <c r="L3" s="145"/>
      <c r="M3" s="145"/>
      <c r="N3" s="145"/>
      <c r="P3" s="145"/>
      <c r="Q3" s="145"/>
    </row>
    <row r="4" spans="1:17" s="207" customFormat="1" ht="39" customHeight="1" thickBot="1">
      <c r="A4" s="206"/>
      <c r="E4" s="208"/>
      <c r="F4" s="209"/>
      <c r="G4" s="210"/>
      <c r="H4" s="211" t="s">
        <v>273</v>
      </c>
      <c r="I4" s="212"/>
      <c r="J4" s="211" t="s">
        <v>272</v>
      </c>
      <c r="K4" s="213"/>
      <c r="L4" s="213"/>
      <c r="M4" s="213"/>
      <c r="N4" s="213"/>
      <c r="O4" s="214"/>
      <c r="P4" s="213"/>
      <c r="Q4" s="213"/>
    </row>
    <row r="5" spans="1:15" s="150" customFormat="1" ht="47.25">
      <c r="A5" s="185" t="s">
        <v>237</v>
      </c>
      <c r="B5" s="185" t="s">
        <v>238</v>
      </c>
      <c r="C5" s="185" t="s">
        <v>239</v>
      </c>
      <c r="D5" s="185" t="s">
        <v>240</v>
      </c>
      <c r="E5" s="186" t="s">
        <v>241</v>
      </c>
      <c r="F5" s="187" t="s">
        <v>242</v>
      </c>
      <c r="G5" s="185" t="s">
        <v>243</v>
      </c>
      <c r="H5" s="188" t="s">
        <v>244</v>
      </c>
      <c r="I5" s="225" t="s">
        <v>245</v>
      </c>
      <c r="J5" s="188" t="s">
        <v>246</v>
      </c>
      <c r="K5" s="185" t="s">
        <v>247</v>
      </c>
      <c r="L5" s="186"/>
      <c r="M5" s="185" t="s">
        <v>240</v>
      </c>
      <c r="N5" s="185" t="s">
        <v>238</v>
      </c>
      <c r="O5" s="185" t="s">
        <v>248</v>
      </c>
    </row>
    <row r="6" spans="1:15" s="224" customFormat="1" ht="48" customHeight="1">
      <c r="A6" s="216" t="str">
        <f>'Variable data'!A10</f>
        <v>Sputum container</v>
      </c>
      <c r="B6" s="217" t="str">
        <f>'Variable data'!D10</f>
        <v>pc</v>
      </c>
      <c r="C6" s="217" t="str">
        <f>VLOOKUP($A6,CountryItems!$A$2:$F$46,4,FALSE)</f>
        <v>carton</v>
      </c>
      <c r="D6" s="217">
        <f>VLOOKUP($A6,CountryItems!$A$2:$F$46,5,FALSE)</f>
        <v>1000</v>
      </c>
      <c r="E6" s="218">
        <f>'Variable data'!H10</f>
        <v>59800</v>
      </c>
      <c r="F6" s="219">
        <f aca="true" t="shared" si="0" ref="F6:F37">IF(ISERROR(E6/D6),"",E6/D6)</f>
        <v>59.8</v>
      </c>
      <c r="G6" s="220">
        <f>VLOOKUP($A6,CountryItems!$A$2:$F$46,6,FALSE)</f>
        <v>80</v>
      </c>
      <c r="H6" s="220">
        <f aca="true" t="shared" si="1" ref="H6:H37">IF(ISERROR(G6*F6),"",G6*F6)</f>
        <v>4784</v>
      </c>
      <c r="I6" s="226">
        <v>100</v>
      </c>
      <c r="J6" s="221">
        <f aca="true" t="shared" si="2" ref="J6:J37">IF(ISERROR(I6*G6),"",I6*G6)</f>
        <v>8000</v>
      </c>
      <c r="K6" s="222" t="str">
        <f aca="true" t="shared" si="3" ref="K6:K37">C6</f>
        <v>carton</v>
      </c>
      <c r="L6" s="223" t="s">
        <v>249</v>
      </c>
      <c r="M6" s="222">
        <f aca="true" t="shared" si="4" ref="M6:M37">D6</f>
        <v>1000</v>
      </c>
      <c r="N6" s="222" t="str">
        <f aca="true" t="shared" si="5" ref="N6:N37">B6</f>
        <v>pc</v>
      </c>
      <c r="O6" s="216" t="str">
        <f>VLOOKUP($A6,CountryItems!$A$2:$F$46,2,FALSE)</f>
        <v>Sputum containers, disposable, transparent plastic, frosted writing surface preferred, tight waterproof screw capped, wide mouthed with diameter ≥35 mm, volume 40 - 50 ml, combustible without forming dangerous (poison) smoke</v>
      </c>
    </row>
    <row r="7" spans="1:15" s="224" customFormat="1" ht="57" customHeight="1">
      <c r="A7" s="216" t="str">
        <f>'Variable data'!A11</f>
        <v>Microscopy slides</v>
      </c>
      <c r="B7" s="217" t="str">
        <f>'Variable data'!D11</f>
        <v>pc</v>
      </c>
      <c r="C7" s="217" t="str">
        <f>VLOOKUP($A7,CountryItems!$A$2:$F$46,4,FALSE)</f>
        <v>pack</v>
      </c>
      <c r="D7" s="217">
        <f>VLOOKUP($A7,CountryItems!$A$2:$F$46,5,FALSE)</f>
        <v>50</v>
      </c>
      <c r="E7" s="218">
        <f>'Variable data'!H11</f>
        <v>59800</v>
      </c>
      <c r="F7" s="219">
        <f t="shared" si="0"/>
        <v>1196</v>
      </c>
      <c r="G7" s="220">
        <f>VLOOKUP($A7,CountryItems!$A$2:$F$46,6,FALSE)</f>
        <v>2</v>
      </c>
      <c r="H7" s="220">
        <f t="shared" si="1"/>
        <v>2392</v>
      </c>
      <c r="I7" s="226">
        <v>1000</v>
      </c>
      <c r="J7" s="221">
        <f t="shared" si="2"/>
        <v>2000</v>
      </c>
      <c r="K7" s="222" t="str">
        <f t="shared" si="3"/>
        <v>pack</v>
      </c>
      <c r="L7" s="223" t="s">
        <v>249</v>
      </c>
      <c r="M7" s="222">
        <f t="shared" si="4"/>
        <v>50</v>
      </c>
      <c r="N7" s="222" t="str">
        <f t="shared" si="5"/>
        <v>pc</v>
      </c>
      <c r="O7" s="216" t="str">
        <f>VLOOKUP($A7,CountryItems!$A$2:$F$46,2,FALSE)</f>
        <v>Microscope slides, lime soda glass with SiO2: 72 - 74 %, Al2O3: 1 – 1,9 %, Fe2O3: 0.09 – 0.1 %, size 76 x 24 mm, thickness 1.0-1.2 mm according to ISO 8037/1, cleaned and degreased, straight edges and corners, cellophanized (tropical packing, paper in-between)</v>
      </c>
    </row>
    <row r="8" spans="1:15" s="224" customFormat="1" ht="39.75" customHeight="1">
      <c r="A8" s="216" t="str">
        <f>'Variable data'!A12</f>
        <v>Basic fuchsin</v>
      </c>
      <c r="B8" s="217" t="str">
        <f>'Variable data'!D12</f>
        <v>g</v>
      </c>
      <c r="C8" s="217" t="str">
        <f>VLOOKUP($A8,CountryItems!$A$2:$F$46,4,FALSE)</f>
        <v>container</v>
      </c>
      <c r="D8" s="217">
        <f>VLOOKUP($A8,CountryItems!$A$2:$F$46,5,FALSE)</f>
        <v>100</v>
      </c>
      <c r="E8" s="218">
        <f>'Variable data'!H12</f>
        <v>1300.0000000000005</v>
      </c>
      <c r="F8" s="219">
        <f t="shared" si="0"/>
        <v>13.000000000000005</v>
      </c>
      <c r="G8" s="220">
        <f>VLOOKUP($A8,CountryItems!$A$2:$F$46,6,FALSE)</f>
        <v>46</v>
      </c>
      <c r="H8" s="220">
        <f t="shared" si="1"/>
        <v>598.0000000000002</v>
      </c>
      <c r="I8" s="226">
        <v>15</v>
      </c>
      <c r="J8" s="221">
        <f t="shared" si="2"/>
        <v>690</v>
      </c>
      <c r="K8" s="222" t="str">
        <f t="shared" si="3"/>
        <v>container</v>
      </c>
      <c r="L8" s="223" t="s">
        <v>249</v>
      </c>
      <c r="M8" s="222">
        <f t="shared" si="4"/>
        <v>100</v>
      </c>
      <c r="N8" s="222" t="str">
        <f t="shared" si="5"/>
        <v>g</v>
      </c>
      <c r="O8" s="216" t="str">
        <f>VLOOKUP($A8,CountryItems!$A$2:$F$46,2,FALSE)</f>
        <v>Basic fuchsine, certified, (Colour Index №) C.I. 42510, C20H20ClN3, MW: 337.85, main product component ≥ 90%, melting point (decomposition 200 °C)</v>
      </c>
    </row>
    <row r="9" spans="1:15" s="224" customFormat="1" ht="39.75" customHeight="1">
      <c r="A9" s="216" t="str">
        <f>'Variable data'!A13</f>
        <v>Phenol</v>
      </c>
      <c r="B9" s="217" t="str">
        <f>'Variable data'!D13</f>
        <v>g</v>
      </c>
      <c r="C9" s="217" t="str">
        <f>VLOOKUP($A9,CountryItems!$A$2:$F$46,4,FALSE)</f>
        <v>container</v>
      </c>
      <c r="D9" s="217">
        <f>VLOOKUP($A9,CountryItems!$A$2:$F$46,5,FALSE)</f>
        <v>1000</v>
      </c>
      <c r="E9" s="218">
        <f>'Variable data'!H13</f>
        <v>11800</v>
      </c>
      <c r="F9" s="219">
        <f t="shared" si="0"/>
        <v>11.8</v>
      </c>
      <c r="G9" s="220">
        <f>VLOOKUP($A9,CountryItems!$A$2:$F$46,6,FALSE)</f>
        <v>70</v>
      </c>
      <c r="H9" s="220">
        <f t="shared" si="1"/>
        <v>826</v>
      </c>
      <c r="I9" s="226">
        <v>10</v>
      </c>
      <c r="J9" s="221">
        <f t="shared" si="2"/>
        <v>700</v>
      </c>
      <c r="K9" s="222" t="str">
        <f t="shared" si="3"/>
        <v>container</v>
      </c>
      <c r="L9" s="223" t="s">
        <v>249</v>
      </c>
      <c r="M9" s="222">
        <f t="shared" si="4"/>
        <v>1000</v>
      </c>
      <c r="N9" s="222" t="str">
        <f t="shared" si="5"/>
        <v>g</v>
      </c>
      <c r="O9" s="216" t="str">
        <f>VLOOKUP($A9,CountryItems!$A$2:$F$46,2,FALSE)</f>
        <v>Phenol crystals, purum, ≥ 99% (GC), C6H6O, MW: 94.11, melting point 40.8 °C</v>
      </c>
    </row>
    <row r="10" spans="1:15" s="224" customFormat="1" ht="39.75" customHeight="1">
      <c r="A10" s="216" t="str">
        <f>'Variable data'!A14</f>
        <v>Auramine O</v>
      </c>
      <c r="B10" s="217" t="str">
        <f>'Variable data'!D14</f>
        <v>g</v>
      </c>
      <c r="C10" s="217" t="str">
        <f>VLOOKUP($A10,CountryItems!$A$2:$F$46,4,FALSE)</f>
        <v>container</v>
      </c>
      <c r="D10" s="217">
        <f>VLOOKUP($A10,CountryItems!$A$2:$F$46,5,FALSE)</f>
        <v>50</v>
      </c>
      <c r="E10" s="218">
        <f>'Variable data'!H14</f>
        <v>0</v>
      </c>
      <c r="F10" s="219">
        <f t="shared" si="0"/>
        <v>0</v>
      </c>
      <c r="G10" s="220">
        <f>VLOOKUP($A10,CountryItems!$A$2:$F$46,6,FALSE)</f>
        <v>24</v>
      </c>
      <c r="H10" s="220">
        <f t="shared" si="1"/>
        <v>0</v>
      </c>
      <c r="I10" s="226"/>
      <c r="J10" s="221">
        <f t="shared" si="2"/>
        <v>0</v>
      </c>
      <c r="K10" s="222" t="str">
        <f t="shared" si="3"/>
        <v>container</v>
      </c>
      <c r="L10" s="223" t="s">
        <v>249</v>
      </c>
      <c r="M10" s="222">
        <f t="shared" si="4"/>
        <v>50</v>
      </c>
      <c r="N10" s="222" t="str">
        <f t="shared" si="5"/>
        <v>g</v>
      </c>
      <c r="O10" s="216" t="str">
        <f>VLOOKUP($A10,CountryItems!$A$2:$F$46,2,FALSE)</f>
        <v>Auramine O, certified, C.I. 41000, C17H22ClN3, MW: 303,84, dye component ≥ 85%, melting point ~ 265 °C</v>
      </c>
    </row>
    <row r="11" spans="1:15" s="224" customFormat="1" ht="39.75" customHeight="1">
      <c r="A11" s="216" t="str">
        <f>'Variable data'!A15</f>
        <v>Potassium permanganate</v>
      </c>
      <c r="B11" s="217" t="str">
        <f>'Variable data'!D15</f>
        <v>g</v>
      </c>
      <c r="C11" s="217" t="str">
        <f>VLOOKUP($A11,CountryItems!$A$2:$F$46,4,FALSE)</f>
        <v>container</v>
      </c>
      <c r="D11" s="217">
        <f>VLOOKUP($A11,CountryItems!$A$2:$F$46,5,FALSE)</f>
        <v>250</v>
      </c>
      <c r="E11" s="218">
        <f>'Variable data'!H15</f>
        <v>0</v>
      </c>
      <c r="F11" s="219">
        <f t="shared" si="0"/>
        <v>0</v>
      </c>
      <c r="G11" s="220">
        <f>VLOOKUP($A11,CountryItems!$A$2:$F$46,6,FALSE)</f>
        <v>70</v>
      </c>
      <c r="H11" s="220">
        <f t="shared" si="1"/>
        <v>0</v>
      </c>
      <c r="I11" s="226"/>
      <c r="J11" s="221">
        <f t="shared" si="2"/>
        <v>0</v>
      </c>
      <c r="K11" s="222" t="str">
        <f t="shared" si="3"/>
        <v>container</v>
      </c>
      <c r="L11" s="223" t="s">
        <v>249</v>
      </c>
      <c r="M11" s="222">
        <f t="shared" si="4"/>
        <v>250</v>
      </c>
      <c r="N11" s="222" t="str">
        <f t="shared" si="5"/>
        <v>g</v>
      </c>
      <c r="O11" s="216" t="str">
        <f>VLOOKUP($A11,CountryItems!$A$2:$F$46,2,FALSE)</f>
        <v>Potassium permanganate, analytical grade, content 99%, KMnO4, MW: 158.04, decomposition &gt; 240 °C</v>
      </c>
    </row>
    <row r="12" spans="1:15" s="224" customFormat="1" ht="39.75" customHeight="1">
      <c r="A12" s="216" t="str">
        <f>'Variable data'!A16</f>
        <v>Sulfuric acid, concentrated</v>
      </c>
      <c r="B12" s="217" t="str">
        <f>'Variable data'!D16</f>
        <v>litre</v>
      </c>
      <c r="C12" s="217" t="str">
        <f>VLOOKUP($A12,CountryItems!$A$2:$F$46,4,FALSE)</f>
        <v>bottle</v>
      </c>
      <c r="D12" s="217">
        <f>VLOOKUP($A12,CountryItems!$A$2:$F$46,5,FALSE)</f>
        <v>2.5</v>
      </c>
      <c r="E12" s="218">
        <f>'Variable data'!H16</f>
        <v>0</v>
      </c>
      <c r="F12" s="219">
        <f t="shared" si="0"/>
        <v>0</v>
      </c>
      <c r="G12" s="220">
        <f>VLOOKUP($A12,CountryItems!$A$2:$F$46,6,FALSE)</f>
        <v>60</v>
      </c>
      <c r="H12" s="220">
        <f t="shared" si="1"/>
        <v>0</v>
      </c>
      <c r="I12" s="226"/>
      <c r="J12" s="221">
        <f t="shared" si="2"/>
        <v>0</v>
      </c>
      <c r="K12" s="222" t="str">
        <f t="shared" si="3"/>
        <v>bottle</v>
      </c>
      <c r="L12" s="223" t="s">
        <v>249</v>
      </c>
      <c r="M12" s="222">
        <f t="shared" si="4"/>
        <v>2.5</v>
      </c>
      <c r="N12" s="222" t="str">
        <f t="shared" si="5"/>
        <v>litre</v>
      </c>
      <c r="O12" s="216" t="str">
        <f>VLOOKUP($A12,CountryItems!$A$2:$F$46,2,FALSE)</f>
        <v>Concentrated sulphuric acid, technical grade, H2SO4, MW: 98.08, density: 1,84 [g/cm³]</v>
      </c>
    </row>
    <row r="13" spans="1:15" s="224" customFormat="1" ht="39.75" customHeight="1">
      <c r="A13" s="216" t="str">
        <f>'Variable data'!A17</f>
        <v>Hydrochloric acid, fuming (37%)</v>
      </c>
      <c r="B13" s="217" t="str">
        <f>'Variable data'!D17</f>
        <v>litre</v>
      </c>
      <c r="C13" s="217" t="str">
        <f>VLOOKUP($A13,CountryItems!$A$2:$F$46,4,FALSE)</f>
        <v>bottle</v>
      </c>
      <c r="D13" s="217">
        <f>VLOOKUP($A13,CountryItems!$A$2:$F$46,5,FALSE)</f>
        <v>2.5</v>
      </c>
      <c r="E13" s="218">
        <f>'Variable data'!H17</f>
        <v>0</v>
      </c>
      <c r="F13" s="219">
        <f t="shared" si="0"/>
        <v>0</v>
      </c>
      <c r="G13" s="220">
        <f>VLOOKUP($A13,CountryItems!$A$2:$F$46,6,FALSE)</f>
        <v>20</v>
      </c>
      <c r="H13" s="220">
        <f t="shared" si="1"/>
        <v>0</v>
      </c>
      <c r="I13" s="226"/>
      <c r="J13" s="221">
        <f t="shared" si="2"/>
        <v>0</v>
      </c>
      <c r="K13" s="222" t="str">
        <f t="shared" si="3"/>
        <v>bottle</v>
      </c>
      <c r="L13" s="223" t="s">
        <v>249</v>
      </c>
      <c r="M13" s="222">
        <f t="shared" si="4"/>
        <v>2.5</v>
      </c>
      <c r="N13" s="222" t="str">
        <f t="shared" si="5"/>
        <v>litre</v>
      </c>
      <c r="O13" s="216" t="str">
        <f>VLOOKUP($A13,CountryItems!$A$2:$F$46,2,FALSE)</f>
        <v>Hydrochloric acid, HCl, MW: 36.5, purum, ≥ 35%, density:  ≥ 1.17 [g/cm³]</v>
      </c>
    </row>
    <row r="14" spans="1:15" s="224" customFormat="1" ht="39.75" customHeight="1">
      <c r="A14" s="216" t="str">
        <f>'Variable data'!A18</f>
        <v>Methylene blue powder</v>
      </c>
      <c r="B14" s="217" t="str">
        <f>'Variable data'!D18</f>
        <v>g</v>
      </c>
      <c r="C14" s="217" t="str">
        <f>VLOOKUP($A14,CountryItems!$A$2:$F$46,4,FALSE)</f>
        <v>container</v>
      </c>
      <c r="D14" s="217">
        <f>VLOOKUP($A14,CountryItems!$A$2:$F$46,5,FALSE)</f>
        <v>100</v>
      </c>
      <c r="E14" s="218">
        <f>'Variable data'!H18</f>
        <v>0</v>
      </c>
      <c r="F14" s="219">
        <f t="shared" si="0"/>
        <v>0</v>
      </c>
      <c r="G14" s="220">
        <f>VLOOKUP($A14,CountryItems!$A$2:$F$46,6,FALSE)</f>
        <v>80</v>
      </c>
      <c r="H14" s="220">
        <f t="shared" si="1"/>
        <v>0</v>
      </c>
      <c r="I14" s="226"/>
      <c r="J14" s="221">
        <f t="shared" si="2"/>
        <v>0</v>
      </c>
      <c r="K14" s="222" t="str">
        <f t="shared" si="3"/>
        <v>container</v>
      </c>
      <c r="L14" s="223" t="s">
        <v>249</v>
      </c>
      <c r="M14" s="222">
        <f t="shared" si="4"/>
        <v>100</v>
      </c>
      <c r="N14" s="222" t="str">
        <f t="shared" si="5"/>
        <v>g</v>
      </c>
      <c r="O14" s="216" t="str">
        <f>VLOOKUP($A14,CountryItems!$A$2:$F$46,2,FALSE)</f>
        <v>Methylene blue, certified, C.I. 50015, C16H18ClN3S·xH2O (x = 2 - 3), MW: ≤ 319.86, melting point (decomposition) ~180 °C, dye component ≥ 82%</v>
      </c>
    </row>
    <row r="15" spans="1:15" s="224" customFormat="1" ht="39.75" customHeight="1">
      <c r="A15" s="216" t="str">
        <f>'Variable data'!A19</f>
        <v>Ethanol 95% </v>
      </c>
      <c r="B15" s="217" t="str">
        <f>'Variable data'!D19</f>
        <v>litre</v>
      </c>
      <c r="C15" s="217" t="str">
        <f>VLOOKUP($A15,CountryItems!$A$2:$F$46,4,FALSE)</f>
        <v>bottle</v>
      </c>
      <c r="D15" s="217">
        <f>VLOOKUP($A15,CountryItems!$A$2:$F$46,5,FALSE)</f>
        <v>2.5</v>
      </c>
      <c r="E15" s="218">
        <f>'Variable data'!H19</f>
        <v>0</v>
      </c>
      <c r="F15" s="219">
        <f t="shared" si="0"/>
        <v>0</v>
      </c>
      <c r="G15" s="220">
        <f>VLOOKUP($A15,CountryItems!$A$2:$F$46,6,FALSE)</f>
        <v>5</v>
      </c>
      <c r="H15" s="220">
        <f t="shared" si="1"/>
        <v>0</v>
      </c>
      <c r="I15" s="226"/>
      <c r="J15" s="221">
        <f t="shared" si="2"/>
        <v>0</v>
      </c>
      <c r="K15" s="222" t="str">
        <f t="shared" si="3"/>
        <v>bottle</v>
      </c>
      <c r="L15" s="223" t="s">
        <v>249</v>
      </c>
      <c r="M15" s="222">
        <f t="shared" si="4"/>
        <v>2.5</v>
      </c>
      <c r="N15" s="222" t="str">
        <f t="shared" si="5"/>
        <v>litre</v>
      </c>
      <c r="O15" s="216" t="str">
        <f>VLOOKUP($A15,CountryItems!$A$2:$F$46,2,FALSE)</f>
        <v>Ethanol, 96%, technical grade, C2H6O, MW: 46,07, boiling point: 75 -78 °C</v>
      </c>
    </row>
    <row r="16" spans="1:15" s="224" customFormat="1" ht="39.75" customHeight="1">
      <c r="A16" s="216" t="str">
        <f>'Variable data'!A20</f>
        <v>Other item calculated per smear</v>
      </c>
      <c r="B16" s="217">
        <f>'Variable data'!D20</f>
        <v>0</v>
      </c>
      <c r="C16" s="217">
        <f>VLOOKUP($A16,CountryItems!$A$2:$F$46,4,FALSE)</f>
        <v>0</v>
      </c>
      <c r="D16" s="217">
        <f>VLOOKUP($A16,CountryItems!$A$2:$F$46,5,FALSE)</f>
        <v>0</v>
      </c>
      <c r="E16" s="218">
        <f>'Variable data'!H20</f>
        <v>0</v>
      </c>
      <c r="F16" s="219">
        <f t="shared" si="0"/>
      </c>
      <c r="G16" s="220">
        <f>VLOOKUP($A16,CountryItems!$A$2:$F$46,6,FALSE)</f>
        <v>0</v>
      </c>
      <c r="H16" s="220">
        <f t="shared" si="1"/>
      </c>
      <c r="I16" s="226"/>
      <c r="J16" s="221">
        <f t="shared" si="2"/>
        <v>0</v>
      </c>
      <c r="K16" s="222">
        <f t="shared" si="3"/>
        <v>0</v>
      </c>
      <c r="L16" s="223" t="s">
        <v>249</v>
      </c>
      <c r="M16" s="222">
        <f t="shared" si="4"/>
        <v>0</v>
      </c>
      <c r="N16" s="222">
        <f t="shared" si="5"/>
        <v>0</v>
      </c>
      <c r="O16" s="216">
        <f>VLOOKUP($A16,CountryItems!$A$2:$F$46,2,FALSE)</f>
        <v>0</v>
      </c>
    </row>
    <row r="17" spans="1:15" s="224" customFormat="1" ht="39.75" customHeight="1">
      <c r="A17" s="216" t="str">
        <f>'Variable data'!A21</f>
        <v>Other item calculated per smear</v>
      </c>
      <c r="B17" s="217">
        <f>'Variable data'!D21</f>
        <v>0</v>
      </c>
      <c r="C17" s="217">
        <f>VLOOKUP($A17,CountryItems!$A$2:$F$46,4,FALSE)</f>
        <v>0</v>
      </c>
      <c r="D17" s="217">
        <f>VLOOKUP($A17,CountryItems!$A$2:$F$46,5,FALSE)</f>
        <v>0</v>
      </c>
      <c r="E17" s="218">
        <f>'Variable data'!H21</f>
        <v>0</v>
      </c>
      <c r="F17" s="219">
        <f t="shared" si="0"/>
      </c>
      <c r="G17" s="220">
        <f>VLOOKUP($A17,CountryItems!$A$2:$F$46,6,FALSE)</f>
        <v>0</v>
      </c>
      <c r="H17" s="220">
        <f t="shared" si="1"/>
      </c>
      <c r="I17" s="226"/>
      <c r="J17" s="221">
        <f t="shared" si="2"/>
        <v>0</v>
      </c>
      <c r="K17" s="222">
        <f t="shared" si="3"/>
        <v>0</v>
      </c>
      <c r="L17" s="223" t="s">
        <v>249</v>
      </c>
      <c r="M17" s="222">
        <f t="shared" si="4"/>
        <v>0</v>
      </c>
      <c r="N17" s="222">
        <f t="shared" si="5"/>
        <v>0</v>
      </c>
      <c r="O17" s="216">
        <f>VLOOKUP($A17,CountryItems!$A$2:$F$46,2,FALSE)</f>
        <v>0</v>
      </c>
    </row>
    <row r="18" spans="1:15" s="224" customFormat="1" ht="39.75" customHeight="1">
      <c r="A18" s="216" t="str">
        <f>'Variable data'!A22</f>
        <v>Burning spirit</v>
      </c>
      <c r="B18" s="217" t="str">
        <f>'Variable data'!D22</f>
        <v>litre</v>
      </c>
      <c r="C18" s="217" t="str">
        <f>VLOOKUP($A18,CountryItems!$A$2:$F$46,4,FALSE)</f>
        <v>bottle</v>
      </c>
      <c r="D18" s="217">
        <f>VLOOKUP($A18,CountryItems!$A$2:$F$46,5,FALSE)</f>
        <v>2.5</v>
      </c>
      <c r="E18" s="218">
        <f>'Variable data'!H22</f>
        <v>0</v>
      </c>
      <c r="F18" s="219">
        <f t="shared" si="0"/>
        <v>0</v>
      </c>
      <c r="G18" s="220">
        <f>VLOOKUP($A18,CountryItems!$A$2:$F$46,6,FALSE)</f>
        <v>1.5</v>
      </c>
      <c r="H18" s="220">
        <f t="shared" si="1"/>
        <v>0</v>
      </c>
      <c r="I18" s="226"/>
      <c r="J18" s="221">
        <f t="shared" si="2"/>
        <v>0</v>
      </c>
      <c r="K18" s="222" t="str">
        <f t="shared" si="3"/>
        <v>bottle</v>
      </c>
      <c r="L18" s="223" t="s">
        <v>249</v>
      </c>
      <c r="M18" s="222">
        <f t="shared" si="4"/>
        <v>2.5</v>
      </c>
      <c r="N18" s="222" t="str">
        <f t="shared" si="5"/>
        <v>litre</v>
      </c>
      <c r="O18" s="216" t="str">
        <f>VLOOKUP($A18,CountryItems!$A$2:$F$46,2,FALSE)</f>
        <v>Methanol or methylated ethanol for spirit lamps, techncal quality</v>
      </c>
    </row>
    <row r="19" spans="1:15" s="224" customFormat="1" ht="39.75" customHeight="1">
      <c r="A19" s="216" t="str">
        <f>'Variable data'!A23</f>
        <v>Immersion oil</v>
      </c>
      <c r="B19" s="217" t="str">
        <f>'Variable data'!D23</f>
        <v>ml</v>
      </c>
      <c r="C19" s="217" t="str">
        <f>VLOOKUP($A19,CountryItems!$A$2:$F$46,4,FALSE)</f>
        <v>bottle</v>
      </c>
      <c r="D19" s="217">
        <f>VLOOKUP($A19,CountryItems!$A$2:$F$46,5,FALSE)</f>
        <v>100</v>
      </c>
      <c r="E19" s="218">
        <f>'Variable data'!H23</f>
        <v>2800.0000000000005</v>
      </c>
      <c r="F19" s="219">
        <f t="shared" si="0"/>
        <v>28.000000000000004</v>
      </c>
      <c r="G19" s="220">
        <f>VLOOKUP($A19,CountryItems!$A$2:$F$46,6,FALSE)</f>
        <v>30</v>
      </c>
      <c r="H19" s="220">
        <f t="shared" si="1"/>
        <v>840.0000000000001</v>
      </c>
      <c r="I19" s="226"/>
      <c r="J19" s="221">
        <f t="shared" si="2"/>
        <v>0</v>
      </c>
      <c r="K19" s="222" t="str">
        <f t="shared" si="3"/>
        <v>bottle</v>
      </c>
      <c r="L19" s="223" t="s">
        <v>249</v>
      </c>
      <c r="M19" s="222">
        <f t="shared" si="4"/>
        <v>100</v>
      </c>
      <c r="N19" s="222" t="str">
        <f t="shared" si="5"/>
        <v>ml</v>
      </c>
      <c r="O19" s="216" t="str">
        <f>VLOOKUP($A19,CountryItems!$A$2:$F$46,2,FALSE)</f>
        <v>Immersion oil, non-drying synthetic oil, refractory index 1.515 - 1.517, viscosity at 20 °C 100 -120 mPas, non fluorescence, light transparency at 400 nm ≥ 75%</v>
      </c>
    </row>
    <row r="20" spans="1:15" s="224" customFormat="1" ht="39.75" customHeight="1">
      <c r="A20" s="216" t="str">
        <f>'Variable data'!A24</f>
        <v>Xylene</v>
      </c>
      <c r="B20" s="217" t="str">
        <f>'Variable data'!D24</f>
        <v>litre</v>
      </c>
      <c r="C20" s="217" t="str">
        <f>VLOOKUP($A20,CountryItems!$A$2:$F$46,4,FALSE)</f>
        <v>bottle</v>
      </c>
      <c r="D20" s="217">
        <f>VLOOKUP($A20,CountryItems!$A$2:$F$46,5,FALSE)</f>
        <v>2.5</v>
      </c>
      <c r="E20" s="218">
        <f>'Variable data'!H24</f>
        <v>0</v>
      </c>
      <c r="F20" s="219">
        <f t="shared" si="0"/>
        <v>0</v>
      </c>
      <c r="G20" s="220">
        <f>VLOOKUP($A20,CountryItems!$A$2:$F$46,6,FALSE)</f>
        <v>60</v>
      </c>
      <c r="H20" s="220">
        <f t="shared" si="1"/>
        <v>0</v>
      </c>
      <c r="I20" s="226"/>
      <c r="J20" s="221">
        <f t="shared" si="2"/>
        <v>0</v>
      </c>
      <c r="K20" s="222" t="str">
        <f t="shared" si="3"/>
        <v>bottle</v>
      </c>
      <c r="L20" s="223" t="s">
        <v>249</v>
      </c>
      <c r="M20" s="222">
        <f t="shared" si="4"/>
        <v>2.5</v>
      </c>
      <c r="N20" s="222" t="str">
        <f t="shared" si="5"/>
        <v>litre</v>
      </c>
      <c r="O20" s="216" t="str">
        <f>VLOOKUP($A20,CountryItems!$A$2:$F$46,2,FALSE)</f>
        <v>mixture, for synthesis</v>
      </c>
    </row>
    <row r="21" spans="1:15" s="224" customFormat="1" ht="39.75" customHeight="1">
      <c r="A21" s="216" t="str">
        <f>'Variable data'!A25</f>
        <v>Cottonwool</v>
      </c>
      <c r="B21" s="217" t="str">
        <f>'Variable data'!D25</f>
        <v>g</v>
      </c>
      <c r="C21" s="217" t="str">
        <f>VLOOKUP($A21,CountryItems!$A$2:$F$46,4,FALSE)</f>
        <v>roll</v>
      </c>
      <c r="D21" s="217">
        <f>VLOOKUP($A21,CountryItems!$A$2:$F$46,5,FALSE)</f>
        <v>500</v>
      </c>
      <c r="E21" s="218">
        <f>'Variable data'!H25</f>
        <v>14800</v>
      </c>
      <c r="F21" s="219">
        <f t="shared" si="0"/>
        <v>29.6</v>
      </c>
      <c r="G21" s="220">
        <f>VLOOKUP($A21,CountryItems!$A$2:$F$46,6,FALSE)</f>
        <v>5</v>
      </c>
      <c r="H21" s="220">
        <f t="shared" si="1"/>
        <v>148</v>
      </c>
      <c r="I21" s="226"/>
      <c r="J21" s="221">
        <f t="shared" si="2"/>
        <v>0</v>
      </c>
      <c r="K21" s="222" t="str">
        <f t="shared" si="3"/>
        <v>roll</v>
      </c>
      <c r="L21" s="223" t="s">
        <v>249</v>
      </c>
      <c r="M21" s="222">
        <f t="shared" si="4"/>
        <v>500</v>
      </c>
      <c r="N21" s="222" t="str">
        <f t="shared" si="5"/>
        <v>g</v>
      </c>
      <c r="O21" s="216" t="str">
        <f>VLOOKUP($A21,CountryItems!$A$2:$F$46,2,FALSE)</f>
        <v>Local hospital quality</v>
      </c>
    </row>
    <row r="22" spans="1:15" s="224" customFormat="1" ht="39.75" customHeight="1">
      <c r="A22" s="216" t="str">
        <f>'Variable data'!A26</f>
        <v>Nichrome wire</v>
      </c>
      <c r="B22" s="217" t="str">
        <f>'Variable data'!D26</f>
        <v>meter</v>
      </c>
      <c r="C22" s="217" t="str">
        <f>VLOOKUP($A22,CountryItems!$A$2:$F$46,4,FALSE)</f>
        <v>roll</v>
      </c>
      <c r="D22" s="217">
        <f>VLOOKUP($A22,CountryItems!$A$2:$F$46,5,FALSE)</f>
        <v>10</v>
      </c>
      <c r="E22" s="218">
        <f>'Variable data'!H26</f>
        <v>0</v>
      </c>
      <c r="F22" s="219">
        <f t="shared" si="0"/>
        <v>0</v>
      </c>
      <c r="G22" s="220">
        <f>VLOOKUP($A22,CountryItems!$A$2:$F$46,6,FALSE)</f>
        <v>10</v>
      </c>
      <c r="H22" s="220">
        <f t="shared" si="1"/>
        <v>0</v>
      </c>
      <c r="I22" s="226"/>
      <c r="J22" s="221">
        <f t="shared" si="2"/>
        <v>0</v>
      </c>
      <c r="K22" s="222" t="str">
        <f t="shared" si="3"/>
        <v>roll</v>
      </c>
      <c r="L22" s="223" t="s">
        <v>249</v>
      </c>
      <c r="M22" s="222">
        <f t="shared" si="4"/>
        <v>10</v>
      </c>
      <c r="N22" s="222" t="str">
        <f t="shared" si="5"/>
        <v>meter</v>
      </c>
      <c r="O22" s="216" t="str">
        <f>VLOOKUP($A22,CountryItems!$A$2:$F$46,2,FALSE)</f>
        <v>Nichrome wire for wireloops, 0.8 - 1 mm diameter, nickel-chromium alloy 89 20, heat resistant to1200 °C</v>
      </c>
    </row>
    <row r="23" spans="1:15" s="224" customFormat="1" ht="39.75" customHeight="1">
      <c r="A23" s="216" t="str">
        <f>'Variable data'!A27</f>
        <v>Gloves M</v>
      </c>
      <c r="B23" s="217" t="str">
        <f>'Variable data'!D27</f>
        <v>pair</v>
      </c>
      <c r="C23" s="217" t="str">
        <f>VLOOKUP($A23,CountryItems!$A$2:$F$46,4,FALSE)</f>
        <v>box</v>
      </c>
      <c r="D23" s="217">
        <f>VLOOKUP($A23,CountryItems!$A$2:$F$46,5,FALSE)</f>
        <v>100</v>
      </c>
      <c r="E23" s="218">
        <f>'Variable data'!H27</f>
        <v>2800</v>
      </c>
      <c r="F23" s="219">
        <f t="shared" si="0"/>
        <v>28</v>
      </c>
      <c r="G23" s="220">
        <f>VLOOKUP($A23,CountryItems!$A$2:$F$46,6,FALSE)</f>
        <v>10</v>
      </c>
      <c r="H23" s="220">
        <f t="shared" si="1"/>
        <v>280</v>
      </c>
      <c r="I23" s="226"/>
      <c r="J23" s="221">
        <f t="shared" si="2"/>
        <v>0</v>
      </c>
      <c r="K23" s="222" t="str">
        <f t="shared" si="3"/>
        <v>box</v>
      </c>
      <c r="L23" s="223" t="s">
        <v>249</v>
      </c>
      <c r="M23" s="222">
        <f t="shared" si="4"/>
        <v>100</v>
      </c>
      <c r="N23" s="222" t="str">
        <f t="shared" si="5"/>
        <v>pair</v>
      </c>
      <c r="O23" s="216" t="str">
        <f>VLOOKUP($A23,CountryItems!$A$2:$F$46,2,FALSE)</f>
        <v>Powder-free disposable latex gloves, CE category III against complex risks, textured surface for slip resistance, ≥0,3 mm thickness, length ≥240 mm, size M</v>
      </c>
    </row>
    <row r="24" spans="1:15" s="224" customFormat="1" ht="39.75" customHeight="1">
      <c r="A24" s="216" t="str">
        <f>'Variable data'!A28</f>
        <v>Loopholder</v>
      </c>
      <c r="B24" s="217" t="str">
        <f>'Variable data'!D28</f>
        <v>pc</v>
      </c>
      <c r="C24" s="217" t="str">
        <f>VLOOKUP($A24,CountryItems!$A$2:$F$46,4,FALSE)</f>
        <v>pack</v>
      </c>
      <c r="D24" s="217">
        <f>VLOOKUP($A24,CountryItems!$A$2:$F$46,5,FALSE)</f>
        <v>10</v>
      </c>
      <c r="E24" s="218">
        <f>'Variable data'!H28</f>
        <v>0</v>
      </c>
      <c r="F24" s="219">
        <f t="shared" si="0"/>
        <v>0</v>
      </c>
      <c r="G24" s="220">
        <f>VLOOKUP($A24,CountryItems!$A$2:$F$46,6,FALSE)</f>
        <v>70</v>
      </c>
      <c r="H24" s="220">
        <f t="shared" si="1"/>
        <v>0</v>
      </c>
      <c r="I24" s="226"/>
      <c r="J24" s="221">
        <f t="shared" si="2"/>
        <v>0</v>
      </c>
      <c r="K24" s="222" t="str">
        <f t="shared" si="3"/>
        <v>pack</v>
      </c>
      <c r="L24" s="223" t="s">
        <v>249</v>
      </c>
      <c r="M24" s="222">
        <f t="shared" si="4"/>
        <v>10</v>
      </c>
      <c r="N24" s="222" t="str">
        <f t="shared" si="5"/>
        <v>pc</v>
      </c>
      <c r="O24" s="216" t="str">
        <f>VLOOKUP($A24,CountryItems!$A$2:$F$46,2,FALSE)</f>
        <v>Loop holder, according to Kolle, upper part aluminium or stainless steel, with plastic handle, length 240mm</v>
      </c>
    </row>
    <row r="25" spans="1:15" s="224" customFormat="1" ht="39.75" customHeight="1">
      <c r="A25" s="216" t="str">
        <f>'Variable data'!A29</f>
        <v>Timer</v>
      </c>
      <c r="B25" s="217" t="str">
        <f>'Variable data'!D29</f>
        <v>pc</v>
      </c>
      <c r="C25" s="217" t="str">
        <f>VLOOKUP($A25,CountryItems!$A$2:$F$46,4,FALSE)</f>
        <v>pack</v>
      </c>
      <c r="D25" s="217">
        <f>VLOOKUP($A25,CountryItems!$A$2:$F$46,5,FALSE)</f>
        <v>10</v>
      </c>
      <c r="E25" s="218">
        <f>'Variable data'!H29</f>
        <v>0</v>
      </c>
      <c r="F25" s="219">
        <f t="shared" si="0"/>
        <v>0</v>
      </c>
      <c r="G25" s="220">
        <f>VLOOKUP($A25,CountryItems!$A$2:$F$46,6,FALSE)</f>
        <v>80</v>
      </c>
      <c r="H25" s="220">
        <f t="shared" si="1"/>
        <v>0</v>
      </c>
      <c r="I25" s="226"/>
      <c r="J25" s="221">
        <f t="shared" si="2"/>
        <v>0</v>
      </c>
      <c r="K25" s="222" t="str">
        <f t="shared" si="3"/>
        <v>pack</v>
      </c>
      <c r="L25" s="223" t="s">
        <v>249</v>
      </c>
      <c r="M25" s="222">
        <f t="shared" si="4"/>
        <v>10</v>
      </c>
      <c r="N25" s="222" t="str">
        <f t="shared" si="5"/>
        <v>pc</v>
      </c>
      <c r="O25" s="216" t="str">
        <f>VLOOKUP($A25,CountryItems!$A$2:$F$46,2,FALSE)</f>
        <v>Timer 0 - 60 min, spring driven, in disinfectable plastic housing, signal sound after time adjusted is over with stand and clip to hang to the lab gown</v>
      </c>
    </row>
    <row r="26" spans="1:15" s="224" customFormat="1" ht="39.75" customHeight="1">
      <c r="A26" s="216" t="str">
        <f>'Variable data'!A30</f>
        <v>Slide forceps</v>
      </c>
      <c r="B26" s="217" t="str">
        <f>'Variable data'!D30</f>
        <v>pc</v>
      </c>
      <c r="C26" s="217" t="str">
        <f>VLOOKUP($A26,CountryItems!$A$2:$F$46,4,FALSE)</f>
        <v>pack</v>
      </c>
      <c r="D26" s="217">
        <f>VLOOKUP($A26,CountryItems!$A$2:$F$46,5,FALSE)</f>
        <v>10</v>
      </c>
      <c r="E26" s="218">
        <f>'Variable data'!H30</f>
        <v>0</v>
      </c>
      <c r="F26" s="219">
        <f t="shared" si="0"/>
        <v>0</v>
      </c>
      <c r="G26" s="220">
        <f>VLOOKUP($A26,CountryItems!$A$2:$F$46,6,FALSE)</f>
        <v>50</v>
      </c>
      <c r="H26" s="220">
        <f t="shared" si="1"/>
        <v>0</v>
      </c>
      <c r="I26" s="226"/>
      <c r="J26" s="221">
        <f t="shared" si="2"/>
        <v>0</v>
      </c>
      <c r="K26" s="222" t="str">
        <f t="shared" si="3"/>
        <v>pack</v>
      </c>
      <c r="L26" s="223" t="s">
        <v>249</v>
      </c>
      <c r="M26" s="222">
        <f t="shared" si="4"/>
        <v>10</v>
      </c>
      <c r="N26" s="222" t="str">
        <f t="shared" si="5"/>
        <v>pc</v>
      </c>
      <c r="O26" s="216" t="str">
        <f>VLOOKUP($A26,CountryItems!$A$2:$F$46,2,FALSE)</f>
        <v>Forceps, stainless steel (18/8), antimagnetic, rounded, anatomical, length 160 mm</v>
      </c>
    </row>
    <row r="27" spans="1:15" s="224" customFormat="1" ht="39.75" customHeight="1">
      <c r="A27" s="216" t="str">
        <f>'Variable data'!A31</f>
        <v>Marker</v>
      </c>
      <c r="B27" s="217" t="str">
        <f>'Variable data'!D31</f>
        <v>pc</v>
      </c>
      <c r="C27" s="217" t="str">
        <f>VLOOKUP($A27,CountryItems!$A$2:$F$46,4,FALSE)</f>
        <v>box</v>
      </c>
      <c r="D27" s="217">
        <f>VLOOKUP($A27,CountryItems!$A$2:$F$46,5,FALSE)</f>
        <v>10</v>
      </c>
      <c r="E27" s="218">
        <f>'Variable data'!H31</f>
        <v>0</v>
      </c>
      <c r="F27" s="219">
        <f t="shared" si="0"/>
        <v>0</v>
      </c>
      <c r="G27" s="220">
        <f>VLOOKUP($A27,CountryItems!$A$2:$F$46,6,FALSE)</f>
        <v>2</v>
      </c>
      <c r="H27" s="220">
        <f t="shared" si="1"/>
        <v>0</v>
      </c>
      <c r="I27" s="226"/>
      <c r="J27" s="221">
        <f t="shared" si="2"/>
        <v>0</v>
      </c>
      <c r="K27" s="222" t="str">
        <f t="shared" si="3"/>
        <v>box</v>
      </c>
      <c r="L27" s="223" t="s">
        <v>249</v>
      </c>
      <c r="M27" s="222">
        <f t="shared" si="4"/>
        <v>10</v>
      </c>
      <c r="N27" s="222" t="str">
        <f t="shared" si="5"/>
        <v>pc</v>
      </c>
      <c r="O27" s="216" t="str">
        <f>VLOOKUP($A27,CountryItems!$A$2:$F$46,2,FALSE)</f>
        <v>Marker pen, resistant against water and alcohol, also against autoclaving, writing on nearly all surfaces, even when cold and wet, fast drying, black, line 0.8 -  1 mm broad</v>
      </c>
    </row>
    <row r="28" spans="1:15" s="224" customFormat="1" ht="39.75" customHeight="1">
      <c r="A28" s="216" t="str">
        <f>'Variable data'!A32</f>
        <v>Spiritlamp</v>
      </c>
      <c r="B28" s="217" t="str">
        <f>'Variable data'!D32</f>
        <v>pc</v>
      </c>
      <c r="C28" s="217" t="str">
        <f>VLOOKUP($A28,CountryItems!$A$2:$F$46,4,FALSE)</f>
        <v>pc</v>
      </c>
      <c r="D28" s="217">
        <f>VLOOKUP($A28,CountryItems!$A$2:$F$46,5,FALSE)</f>
        <v>1</v>
      </c>
      <c r="E28" s="218">
        <f>'Variable data'!H32</f>
        <v>0</v>
      </c>
      <c r="F28" s="219">
        <f t="shared" si="0"/>
        <v>0</v>
      </c>
      <c r="G28" s="220">
        <f>VLOOKUP($A28,CountryItems!$A$2:$F$46,6,FALSE)</f>
        <v>19</v>
      </c>
      <c r="H28" s="220">
        <f t="shared" si="1"/>
        <v>0</v>
      </c>
      <c r="I28" s="226"/>
      <c r="J28" s="221">
        <f t="shared" si="2"/>
        <v>0</v>
      </c>
      <c r="K28" s="222" t="str">
        <f t="shared" si="3"/>
        <v>pc</v>
      </c>
      <c r="L28" s="223" t="s">
        <v>249</v>
      </c>
      <c r="M28" s="222">
        <f t="shared" si="4"/>
        <v>1</v>
      </c>
      <c r="N28" s="222" t="str">
        <f t="shared" si="5"/>
        <v>pc</v>
      </c>
      <c r="O28" s="216" t="str">
        <f>VLOOKUP($A28,CountryItems!$A$2:$F$46,2,FALSE)</f>
        <v>Spirit lamp, brass or stainless steel, volume approx. 85 ml, 100 mm diameter approx. 65 mm height, with wick (cotton wool or metal wire), wick adjustment and cap.</v>
      </c>
    </row>
    <row r="29" spans="1:15" s="224" customFormat="1" ht="39.75" customHeight="1">
      <c r="A29" s="216" t="str">
        <f>'Variable data'!A33</f>
        <v>Diamond pencil</v>
      </c>
      <c r="B29" s="217" t="str">
        <f>'Variable data'!D33</f>
        <v>pc</v>
      </c>
      <c r="C29" s="217" t="str">
        <f>VLOOKUP($A29,CountryItems!$A$2:$F$46,4,FALSE)</f>
        <v>pack</v>
      </c>
      <c r="D29" s="217">
        <f>VLOOKUP($A29,CountryItems!$A$2:$F$46,5,FALSE)</f>
        <v>10</v>
      </c>
      <c r="E29" s="218">
        <f>'Variable data'!H33</f>
        <v>0</v>
      </c>
      <c r="F29" s="219">
        <f t="shared" si="0"/>
        <v>0</v>
      </c>
      <c r="G29" s="220">
        <f>VLOOKUP($A29,CountryItems!$A$2:$F$46,6,FALSE)</f>
        <v>200</v>
      </c>
      <c r="H29" s="220">
        <f t="shared" si="1"/>
        <v>0</v>
      </c>
      <c r="I29" s="226"/>
      <c r="J29" s="221">
        <f t="shared" si="2"/>
        <v>0</v>
      </c>
      <c r="K29" s="222" t="str">
        <f t="shared" si="3"/>
        <v>pack</v>
      </c>
      <c r="L29" s="223" t="s">
        <v>249</v>
      </c>
      <c r="M29" s="222">
        <f t="shared" si="4"/>
        <v>10</v>
      </c>
      <c r="N29" s="222" t="str">
        <f t="shared" si="5"/>
        <v>pc</v>
      </c>
      <c r="O29" s="216" t="str">
        <f>VLOOKUP($A29,CountryItems!$A$2:$F$46,2,FALSE)</f>
        <v>Diamond pointed glass slide marker</v>
      </c>
    </row>
    <row r="30" spans="1:15" s="224" customFormat="1" ht="39.75" customHeight="1">
      <c r="A30" s="216" t="str">
        <f>'Variable data'!A34</f>
        <v>Spare bulb</v>
      </c>
      <c r="B30" s="217" t="str">
        <f>'Variable data'!D34</f>
        <v>pc</v>
      </c>
      <c r="C30" s="217" t="str">
        <f>VLOOKUP($A30,CountryItems!$A$2:$F$46,4,FALSE)</f>
        <v>pc</v>
      </c>
      <c r="D30" s="217">
        <f>VLOOKUP($A30,CountryItems!$A$2:$F$46,5,FALSE)</f>
        <v>1</v>
      </c>
      <c r="E30" s="218">
        <f>'Variable data'!H34</f>
        <v>0</v>
      </c>
      <c r="F30" s="219">
        <f t="shared" si="0"/>
        <v>0</v>
      </c>
      <c r="G30" s="220">
        <f>VLOOKUP($A30,CountryItems!$A$2:$F$46,6,FALSE)</f>
        <v>6</v>
      </c>
      <c r="H30" s="220">
        <f t="shared" si="1"/>
        <v>0</v>
      </c>
      <c r="I30" s="226"/>
      <c r="J30" s="221">
        <f t="shared" si="2"/>
        <v>0</v>
      </c>
      <c r="K30" s="222" t="str">
        <f t="shared" si="3"/>
        <v>pc</v>
      </c>
      <c r="L30" s="223" t="s">
        <v>249</v>
      </c>
      <c r="M30" s="222">
        <f t="shared" si="4"/>
        <v>1</v>
      </c>
      <c r="N30" s="222" t="str">
        <f t="shared" si="5"/>
        <v>pc</v>
      </c>
      <c r="O30" s="216" t="str">
        <f>VLOOKUP($A30,CountryItems!$A$2:$F$46,2,FALSE)</f>
        <v>Spare bulb for brightfield microscopy, fit to the specific microscopes used</v>
      </c>
    </row>
    <row r="31" spans="1:15" s="224" customFormat="1" ht="39.75" customHeight="1">
      <c r="A31" s="216" t="str">
        <f>'Variable data'!A35</f>
        <v>Spare mirror</v>
      </c>
      <c r="B31" s="217" t="str">
        <f>'Variable data'!D35</f>
        <v>pc</v>
      </c>
      <c r="C31" s="217" t="str">
        <f>VLOOKUP($A31,CountryItems!$A$2:$F$46,4,FALSE)</f>
        <v>pc</v>
      </c>
      <c r="D31" s="217">
        <f>VLOOKUP($A31,CountryItems!$A$2:$F$46,5,FALSE)</f>
        <v>1</v>
      </c>
      <c r="E31" s="218">
        <f>'Variable data'!H35</f>
        <v>0</v>
      </c>
      <c r="F31" s="219">
        <f t="shared" si="0"/>
        <v>0</v>
      </c>
      <c r="G31" s="220">
        <f>VLOOKUP($A31,CountryItems!$A$2:$F$46,6,FALSE)</f>
        <v>25</v>
      </c>
      <c r="H31" s="220">
        <f t="shared" si="1"/>
        <v>0</v>
      </c>
      <c r="I31" s="226"/>
      <c r="J31" s="221">
        <f t="shared" si="2"/>
        <v>0</v>
      </c>
      <c r="K31" s="222" t="str">
        <f t="shared" si="3"/>
        <v>pc</v>
      </c>
      <c r="L31" s="223" t="s">
        <v>249</v>
      </c>
      <c r="M31" s="222">
        <f t="shared" si="4"/>
        <v>1</v>
      </c>
      <c r="N31" s="222" t="str">
        <f t="shared" si="5"/>
        <v>pc</v>
      </c>
      <c r="O31" s="216" t="str">
        <f>VLOOKUP($A31,CountryItems!$A$2:$F$46,2,FALSE)</f>
        <v>Spare mirror for brightfield microscopy, fit to the specific microscopes used</v>
      </c>
    </row>
    <row r="32" spans="1:15" s="224" customFormat="1" ht="39.75" customHeight="1">
      <c r="A32" s="216" t="str">
        <f>'Variable data'!A36</f>
        <v>Spare objective</v>
      </c>
      <c r="B32" s="217" t="str">
        <f>'Variable data'!D36</f>
        <v>pc</v>
      </c>
      <c r="C32" s="217" t="str">
        <f>VLOOKUP($A32,CountryItems!$A$2:$F$46,4,FALSE)</f>
        <v>pc</v>
      </c>
      <c r="D32" s="217">
        <f>VLOOKUP($A32,CountryItems!$A$2:$F$46,5,FALSE)</f>
        <v>1</v>
      </c>
      <c r="E32" s="218">
        <f>'Variable data'!H36</f>
        <v>0</v>
      </c>
      <c r="F32" s="219">
        <f t="shared" si="0"/>
        <v>0</v>
      </c>
      <c r="G32" s="220">
        <f>VLOOKUP($A32,CountryItems!$A$2:$F$46,6,FALSE)</f>
        <v>150</v>
      </c>
      <c r="H32" s="220">
        <f t="shared" si="1"/>
        <v>0</v>
      </c>
      <c r="I32" s="226"/>
      <c r="J32" s="221">
        <f t="shared" si="2"/>
        <v>0</v>
      </c>
      <c r="K32" s="222" t="str">
        <f t="shared" si="3"/>
        <v>pc</v>
      </c>
      <c r="L32" s="223" t="s">
        <v>249</v>
      </c>
      <c r="M32" s="222">
        <f t="shared" si="4"/>
        <v>1</v>
      </c>
      <c r="N32" s="222" t="str">
        <f t="shared" si="5"/>
        <v>pc</v>
      </c>
      <c r="O32" s="216" t="str">
        <f>VLOOKUP($A32,CountryItems!$A$2:$F$46,2,FALSE)</f>
        <v>Spare 100x objective oil immersion for brightfield microscopy, fit to the specific microscopes used</v>
      </c>
    </row>
    <row r="33" spans="1:15" s="224" customFormat="1" ht="39.75" customHeight="1">
      <c r="A33" s="216" t="str">
        <f>'Variable data'!A37</f>
        <v>Spare eyepiece</v>
      </c>
      <c r="B33" s="217" t="str">
        <f>'Variable data'!D37</f>
        <v>pc</v>
      </c>
      <c r="C33" s="217" t="str">
        <f>VLOOKUP($A33,CountryItems!$A$2:$F$46,4,FALSE)</f>
        <v>pc</v>
      </c>
      <c r="D33" s="217">
        <f>VLOOKUP($A33,CountryItems!$A$2:$F$46,5,FALSE)</f>
        <v>1</v>
      </c>
      <c r="E33" s="218">
        <f>'Variable data'!H37</f>
        <v>0</v>
      </c>
      <c r="F33" s="219">
        <f t="shared" si="0"/>
        <v>0</v>
      </c>
      <c r="G33" s="220">
        <f>VLOOKUP($A33,CountryItems!$A$2:$F$46,6,FALSE)</f>
        <v>25</v>
      </c>
      <c r="H33" s="220">
        <f t="shared" si="1"/>
        <v>0</v>
      </c>
      <c r="I33" s="226"/>
      <c r="J33" s="221">
        <f t="shared" si="2"/>
        <v>0</v>
      </c>
      <c r="K33" s="222" t="str">
        <f t="shared" si="3"/>
        <v>pc</v>
      </c>
      <c r="L33" s="223" t="s">
        <v>249</v>
      </c>
      <c r="M33" s="222">
        <f t="shared" si="4"/>
        <v>1</v>
      </c>
      <c r="N33" s="222" t="str">
        <f t="shared" si="5"/>
        <v>pc</v>
      </c>
      <c r="O33" s="216" t="str">
        <f>VLOOKUP($A33,CountryItems!$A$2:$F$46,2,FALSE)</f>
        <v>Spare 10x ocular, fit to the specific microscopes used</v>
      </c>
    </row>
    <row r="34" spans="1:15" s="224" customFormat="1" ht="39.75" customHeight="1">
      <c r="A34" s="216" t="str">
        <f>'Variable data'!A38</f>
        <v>Slidebox</v>
      </c>
      <c r="B34" s="217" t="str">
        <f>'Variable data'!D38</f>
        <v>pc</v>
      </c>
      <c r="C34" s="217" t="str">
        <f>VLOOKUP($A34,CountryItems!$A$2:$F$46,4,FALSE)</f>
        <v>pc</v>
      </c>
      <c r="D34" s="217">
        <f>VLOOKUP($A34,CountryItems!$A$2:$F$46,5,FALSE)</f>
        <v>1</v>
      </c>
      <c r="E34" s="218">
        <f>'Variable data'!H38</f>
        <v>0</v>
      </c>
      <c r="F34" s="219">
        <f t="shared" si="0"/>
        <v>0</v>
      </c>
      <c r="G34" s="220">
        <f>VLOOKUP($A34,CountryItems!$A$2:$F$46,6,FALSE)</f>
        <v>4.65</v>
      </c>
      <c r="H34" s="220">
        <f t="shared" si="1"/>
        <v>0</v>
      </c>
      <c r="I34" s="226"/>
      <c r="J34" s="221">
        <f t="shared" si="2"/>
        <v>0</v>
      </c>
      <c r="K34" s="222" t="str">
        <f t="shared" si="3"/>
        <v>pc</v>
      </c>
      <c r="L34" s="223" t="s">
        <v>249</v>
      </c>
      <c r="M34" s="222">
        <f t="shared" si="4"/>
        <v>1</v>
      </c>
      <c r="N34" s="222" t="str">
        <f t="shared" si="5"/>
        <v>pc</v>
      </c>
      <c r="O34" s="216" t="str">
        <f>VLOOKUP($A34,CountryItems!$A$2:$F$46,2,FALSE)</f>
        <v>Slide storage boxes, plastic or wood, for 100 slides 76 x 26 mm </v>
      </c>
    </row>
    <row r="35" spans="1:15" s="224" customFormat="1" ht="39.75" customHeight="1">
      <c r="A35" s="216" t="str">
        <f>'Variable data'!A39</f>
        <v>Filter paper circular</v>
      </c>
      <c r="B35" s="217" t="str">
        <f>'Variable data'!D39</f>
        <v>pc</v>
      </c>
      <c r="C35" s="217" t="str">
        <f>VLOOKUP($A35,CountryItems!$A$2:$F$46,4,FALSE)</f>
        <v>box</v>
      </c>
      <c r="D35" s="217">
        <f>VLOOKUP($A35,CountryItems!$A$2:$F$46,5,FALSE)</f>
        <v>100</v>
      </c>
      <c r="E35" s="218">
        <f>'Variable data'!H39</f>
        <v>1300</v>
      </c>
      <c r="F35" s="219">
        <f t="shared" si="0"/>
        <v>13</v>
      </c>
      <c r="G35" s="220">
        <f>VLOOKUP($A35,CountryItems!$A$2:$F$46,6,FALSE)</f>
        <v>3</v>
      </c>
      <c r="H35" s="220">
        <f t="shared" si="1"/>
        <v>39</v>
      </c>
      <c r="I35" s="226"/>
      <c r="J35" s="221">
        <f t="shared" si="2"/>
        <v>0</v>
      </c>
      <c r="K35" s="222" t="str">
        <f t="shared" si="3"/>
        <v>box</v>
      </c>
      <c r="L35" s="223" t="s">
        <v>249</v>
      </c>
      <c r="M35" s="222">
        <f t="shared" si="4"/>
        <v>100</v>
      </c>
      <c r="N35" s="222" t="str">
        <f t="shared" si="5"/>
        <v>pc</v>
      </c>
      <c r="O35" s="216" t="str">
        <f>VLOOKUP($A35,CountryItems!$A$2:$F$46,2,FALSE)</f>
        <v>Filterpaper, cellulose, type 113A, weight 80 g/m² , middle fast filtrating, retention range 8 µm, round, diameter 110 mm</v>
      </c>
    </row>
    <row r="36" spans="1:15" s="224" customFormat="1" ht="39.75" customHeight="1">
      <c r="A36" s="216" t="str">
        <f>'Variable data'!A40</f>
        <v>Staining bottle</v>
      </c>
      <c r="B36" s="217" t="str">
        <f>'Variable data'!D40</f>
        <v>pc</v>
      </c>
      <c r="C36" s="217" t="str">
        <f>VLOOKUP($A36,CountryItems!$A$2:$F$46,4,FALSE)</f>
        <v>pack</v>
      </c>
      <c r="D36" s="217">
        <f>VLOOKUP($A36,CountryItems!$A$2:$F$46,5,FALSE)</f>
        <v>10</v>
      </c>
      <c r="E36" s="218">
        <f>'Variable data'!H40</f>
        <v>0</v>
      </c>
      <c r="F36" s="219">
        <f t="shared" si="0"/>
        <v>0</v>
      </c>
      <c r="G36" s="220">
        <f>VLOOKUP($A36,CountryItems!$A$2:$F$46,6,FALSE)</f>
        <v>20</v>
      </c>
      <c r="H36" s="220">
        <f t="shared" si="1"/>
        <v>0</v>
      </c>
      <c r="I36" s="226"/>
      <c r="J36" s="221">
        <f t="shared" si="2"/>
        <v>0</v>
      </c>
      <c r="K36" s="222" t="str">
        <f t="shared" si="3"/>
        <v>pack</v>
      </c>
      <c r="L36" s="223" t="s">
        <v>249</v>
      </c>
      <c r="M36" s="222">
        <f t="shared" si="4"/>
        <v>10</v>
      </c>
      <c r="N36" s="222" t="str">
        <f t="shared" si="5"/>
        <v>pc</v>
      </c>
      <c r="O36" s="216" t="str">
        <f>VLOOKUP($A36,CountryItems!$A$2:$F$46,2,FALSE)</f>
        <v>Staining bottles, swan neck bottles (PE flask, narrow neck with screw cap and jet dispenser) 250 ml</v>
      </c>
    </row>
    <row r="37" spans="1:15" s="224" customFormat="1" ht="39.75" customHeight="1">
      <c r="A37" s="216" t="str">
        <f>'Variable data'!A41</f>
        <v>Beaker</v>
      </c>
      <c r="B37" s="217" t="str">
        <f>'Variable data'!D41</f>
        <v>pc</v>
      </c>
      <c r="C37" s="217" t="str">
        <f>VLOOKUP($A37,CountryItems!$A$2:$F$46,4,FALSE)</f>
        <v>pack</v>
      </c>
      <c r="D37" s="217">
        <f>VLOOKUP($A37,CountryItems!$A$2:$F$46,5,FALSE)</f>
        <v>10</v>
      </c>
      <c r="E37" s="218">
        <f>'Variable data'!H41</f>
        <v>0</v>
      </c>
      <c r="F37" s="219">
        <f t="shared" si="0"/>
        <v>0</v>
      </c>
      <c r="G37" s="220">
        <f>VLOOKUP($A37,CountryItems!$A$2:$F$46,6,FALSE)</f>
        <v>20</v>
      </c>
      <c r="H37" s="220">
        <f t="shared" si="1"/>
        <v>0</v>
      </c>
      <c r="I37" s="226"/>
      <c r="J37" s="221">
        <f t="shared" si="2"/>
        <v>0</v>
      </c>
      <c r="K37" s="222" t="str">
        <f t="shared" si="3"/>
        <v>pack</v>
      </c>
      <c r="L37" s="223" t="s">
        <v>249</v>
      </c>
      <c r="M37" s="222">
        <f t="shared" si="4"/>
        <v>10</v>
      </c>
      <c r="N37" s="222" t="str">
        <f t="shared" si="5"/>
        <v>pc</v>
      </c>
      <c r="O37" s="216" t="str">
        <f>VLOOKUP($A37,CountryItems!$A$2:$F$46,2,FALSE)</f>
        <v>Beaker, plastic PP, with handgrip for rinsing, volume 1 L</v>
      </c>
    </row>
    <row r="38" spans="1:15" s="224" customFormat="1" ht="39.75" customHeight="1">
      <c r="A38" s="216" t="str">
        <f>'Variable data'!A42</f>
        <v>Dropper bottle</v>
      </c>
      <c r="B38" s="217" t="str">
        <f>'Variable data'!D42</f>
        <v>pc</v>
      </c>
      <c r="C38" s="217" t="str">
        <f>VLOOKUP($A38,CountryItems!$A$2:$F$46,4,FALSE)</f>
        <v>pack</v>
      </c>
      <c r="D38" s="217">
        <f>VLOOKUP($A38,CountryItems!$A$2:$F$46,5,FALSE)</f>
        <v>10</v>
      </c>
      <c r="E38" s="218">
        <f>'Variable data'!H42</f>
        <v>0</v>
      </c>
      <c r="F38" s="219">
        <f aca="true" t="shared" si="6" ref="F38:F46">IF(ISERROR(E38/D38),"",E38/D38)</f>
        <v>0</v>
      </c>
      <c r="G38" s="220">
        <f>VLOOKUP($A38,CountryItems!$A$2:$F$46,6,FALSE)</f>
        <v>10</v>
      </c>
      <c r="H38" s="220">
        <f aca="true" t="shared" si="7" ref="H38:H46">IF(ISERROR(G38*F38),"",G38*F38)</f>
        <v>0</v>
      </c>
      <c r="I38" s="226"/>
      <c r="J38" s="221">
        <f aca="true" t="shared" si="8" ref="J38:J46">IF(ISERROR(I38*G38),"",I38*G38)</f>
        <v>0</v>
      </c>
      <c r="K38" s="222" t="str">
        <f aca="true" t="shared" si="9" ref="K38:K46">C38</f>
        <v>pack</v>
      </c>
      <c r="L38" s="223" t="s">
        <v>249</v>
      </c>
      <c r="M38" s="222">
        <f aca="true" t="shared" si="10" ref="M38:M46">D38</f>
        <v>10</v>
      </c>
      <c r="N38" s="222" t="str">
        <f aca="true" t="shared" si="11" ref="N38:N46">B38</f>
        <v>pc</v>
      </c>
      <c r="O38" s="216" t="str">
        <f>VLOOKUP($A38,CountryItems!$A$2:$F$46,2,FALSE)</f>
        <v>Oil dropper bottle, LDPE plastic, seal stopper fixed to screw cap, 10 ml</v>
      </c>
    </row>
    <row r="39" spans="1:15" s="224" customFormat="1" ht="39.75" customHeight="1">
      <c r="A39" s="216" t="str">
        <f>'Variable data'!A43</f>
        <v>Stock bottle</v>
      </c>
      <c r="B39" s="217" t="str">
        <f>'Variable data'!D43</f>
        <v>pc</v>
      </c>
      <c r="C39" s="217" t="str">
        <f>VLOOKUP($A39,CountryItems!$A$2:$F$46,4,FALSE)</f>
        <v>carton</v>
      </c>
      <c r="D39" s="217">
        <f>VLOOKUP($A39,CountryItems!$A$2:$F$46,5,FALSE)</f>
        <v>10</v>
      </c>
      <c r="E39" s="218">
        <f>'Variable data'!H43</f>
        <v>0</v>
      </c>
      <c r="F39" s="219">
        <f t="shared" si="6"/>
        <v>0</v>
      </c>
      <c r="G39" s="220">
        <f>VLOOKUP($A39,CountryItems!$A$2:$F$46,6,FALSE)</f>
        <v>30.6</v>
      </c>
      <c r="H39" s="220">
        <f t="shared" si="7"/>
        <v>0</v>
      </c>
      <c r="I39" s="226"/>
      <c r="J39" s="221">
        <f t="shared" si="8"/>
        <v>0</v>
      </c>
      <c r="K39" s="222" t="str">
        <f t="shared" si="9"/>
        <v>carton</v>
      </c>
      <c r="L39" s="223" t="s">
        <v>249</v>
      </c>
      <c r="M39" s="222">
        <f t="shared" si="10"/>
        <v>10</v>
      </c>
      <c r="N39" s="222" t="str">
        <f t="shared" si="11"/>
        <v>pc</v>
      </c>
      <c r="O39" s="216" t="str">
        <f>VLOOKUP($A39,CountryItems!$A$2:$F$46,2,FALSE)</f>
        <v>Reagent bottles 1 L, Safe-break Winchester or Duran bottles with thread 45 and screw cap , amber, light absorption from short wave to 500 nm,  According to ISO 4746. Volume 1000 ml</v>
      </c>
    </row>
    <row r="40" spans="1:15" s="224" customFormat="1" ht="39.75" customHeight="1">
      <c r="A40" s="216" t="str">
        <f>'Variable data'!A44</f>
        <v>Solutions transport container</v>
      </c>
      <c r="B40" s="217" t="str">
        <f>'Variable data'!D44</f>
        <v>pc</v>
      </c>
      <c r="C40" s="217" t="str">
        <f>VLOOKUP($A40,CountryItems!$A$2:$F$46,4,FALSE)</f>
        <v>pc</v>
      </c>
      <c r="D40" s="217">
        <f>VLOOKUP($A40,CountryItems!$A$2:$F$46,5,FALSE)</f>
        <v>1</v>
      </c>
      <c r="E40" s="218">
        <f>'Variable data'!H44</f>
        <v>0</v>
      </c>
      <c r="F40" s="219">
        <f t="shared" si="6"/>
        <v>0</v>
      </c>
      <c r="G40" s="220">
        <f>VLOOKUP($A40,CountryItems!$A$2:$F$46,6,FALSE)</f>
        <v>5</v>
      </c>
      <c r="H40" s="220">
        <f t="shared" si="7"/>
        <v>0</v>
      </c>
      <c r="I40" s="226"/>
      <c r="J40" s="221">
        <f t="shared" si="8"/>
        <v>0</v>
      </c>
      <c r="K40" s="222" t="str">
        <f t="shared" si="9"/>
        <v>pc</v>
      </c>
      <c r="L40" s="223" t="s">
        <v>249</v>
      </c>
      <c r="M40" s="222">
        <f t="shared" si="10"/>
        <v>1</v>
      </c>
      <c r="N40" s="222" t="str">
        <f t="shared" si="11"/>
        <v>pc</v>
      </c>
      <c r="O40" s="216" t="str">
        <f>VLOOKUP($A40,CountryItems!$A$2:$F$46,2,FALSE)</f>
        <v>Plastic jerrycan 4-5 L, tight closing with push-in cap as well as outer screwcap</v>
      </c>
    </row>
    <row r="41" spans="1:15" s="224" customFormat="1" ht="39.75" customHeight="1">
      <c r="A41" s="216" t="str">
        <f>'Variable data'!A45</f>
        <v>Staining rack</v>
      </c>
      <c r="B41" s="217" t="str">
        <f>'Variable data'!D45</f>
        <v>pc</v>
      </c>
      <c r="C41" s="217" t="str">
        <f>VLOOKUP($A41,CountryItems!$A$2:$F$46,4,FALSE)</f>
        <v>pc</v>
      </c>
      <c r="D41" s="217">
        <f>VLOOKUP($A41,CountryItems!$A$2:$F$46,5,FALSE)</f>
        <v>1</v>
      </c>
      <c r="E41" s="218">
        <f>'Variable data'!H45</f>
        <v>0</v>
      </c>
      <c r="F41" s="219">
        <f t="shared" si="6"/>
        <v>0</v>
      </c>
      <c r="G41" s="220">
        <f>VLOOKUP($A41,CountryItems!$A$2:$F$46,6,FALSE)</f>
        <v>10</v>
      </c>
      <c r="H41" s="220">
        <f t="shared" si="7"/>
        <v>0</v>
      </c>
      <c r="I41" s="226"/>
      <c r="J41" s="221">
        <f t="shared" si="8"/>
        <v>0</v>
      </c>
      <c r="K41" s="222" t="str">
        <f t="shared" si="9"/>
        <v>pc</v>
      </c>
      <c r="L41" s="223" t="s">
        <v>249</v>
      </c>
      <c r="M41" s="222">
        <f t="shared" si="10"/>
        <v>1</v>
      </c>
      <c r="N41" s="222" t="str">
        <f t="shared" si="11"/>
        <v>pc</v>
      </c>
      <c r="O41" s="216" t="str">
        <f>VLOOKUP($A41,CountryItems!$A$2:$F$46,2,FALSE)</f>
        <v>Staining rack, home made from glass rods and rubber/ silicon tubes or formed from wire (preferably stainless steel) in appropriate size</v>
      </c>
    </row>
    <row r="42" spans="1:15" s="224" customFormat="1" ht="39.75" customHeight="1">
      <c r="A42" s="216" t="str">
        <f>'Variable data'!A46</f>
        <v>Funnel</v>
      </c>
      <c r="B42" s="217" t="str">
        <f>'Variable data'!D46</f>
        <v>pc</v>
      </c>
      <c r="C42" s="217" t="str">
        <f>VLOOKUP($A42,CountryItems!$A$2:$F$46,4,FALSE)</f>
        <v>pack</v>
      </c>
      <c r="D42" s="217">
        <f>VLOOKUP($A42,CountryItems!$A$2:$F$46,5,FALSE)</f>
        <v>10</v>
      </c>
      <c r="E42" s="218">
        <f>'Variable data'!H46</f>
        <v>0</v>
      </c>
      <c r="F42" s="219">
        <f t="shared" si="6"/>
        <v>0</v>
      </c>
      <c r="G42" s="220">
        <f>VLOOKUP($A42,CountryItems!$A$2:$F$46,6,FALSE)</f>
        <v>5</v>
      </c>
      <c r="H42" s="220">
        <f t="shared" si="7"/>
        <v>0</v>
      </c>
      <c r="I42" s="226"/>
      <c r="J42" s="221">
        <f t="shared" si="8"/>
        <v>0</v>
      </c>
      <c r="K42" s="222" t="str">
        <f t="shared" si="9"/>
        <v>pack</v>
      </c>
      <c r="L42" s="223" t="s">
        <v>249</v>
      </c>
      <c r="M42" s="222">
        <f t="shared" si="10"/>
        <v>10</v>
      </c>
      <c r="N42" s="222" t="str">
        <f t="shared" si="11"/>
        <v>pc</v>
      </c>
      <c r="O42" s="216" t="str">
        <f>VLOOKUP($A42,CountryItems!$A$2:$F$46,2,FALSE)</f>
        <v>Plastic, upper diameter about 10 cm</v>
      </c>
    </row>
    <row r="43" spans="1:15" s="224" customFormat="1" ht="39.75" customHeight="1">
      <c r="A43" s="216" t="str">
        <f>'Variable data'!A47</f>
        <v>Disinfectant</v>
      </c>
      <c r="B43" s="217" t="str">
        <f>'Variable data'!D47</f>
        <v>L</v>
      </c>
      <c r="C43" s="217" t="str">
        <f>VLOOKUP($A43,CountryItems!$A$2:$F$46,4,FALSE)</f>
        <v>container</v>
      </c>
      <c r="D43" s="217">
        <f>VLOOKUP($A43,CountryItems!$A$2:$F$46,5,FALSE)</f>
        <v>5</v>
      </c>
      <c r="E43" s="218">
        <f>'Variable data'!H47</f>
        <v>100</v>
      </c>
      <c r="F43" s="219">
        <f t="shared" si="6"/>
        <v>20</v>
      </c>
      <c r="G43" s="220">
        <f>VLOOKUP($A43,CountryItems!$A$2:$F$46,6,FALSE)</f>
        <v>5</v>
      </c>
      <c r="H43" s="220">
        <f t="shared" si="7"/>
        <v>100</v>
      </c>
      <c r="I43" s="226"/>
      <c r="J43" s="221">
        <f t="shared" si="8"/>
        <v>0</v>
      </c>
      <c r="K43" s="222" t="str">
        <f t="shared" si="9"/>
        <v>container</v>
      </c>
      <c r="L43" s="223" t="s">
        <v>249</v>
      </c>
      <c r="M43" s="222">
        <f t="shared" si="10"/>
        <v>5</v>
      </c>
      <c r="N43" s="222" t="str">
        <f t="shared" si="11"/>
        <v>L</v>
      </c>
      <c r="O43" s="216" t="str">
        <f>VLOOKUP($A43,CountryItems!$A$2:$F$46,2,FALSE)</f>
        <v>Disinfectant, 0.5% phenol solution, technical grade</v>
      </c>
    </row>
    <row r="44" spans="1:15" s="224" customFormat="1" ht="39.75" customHeight="1">
      <c r="A44" s="216" t="str">
        <f>'Variable data'!A48</f>
        <v>Lab coat</v>
      </c>
      <c r="B44" s="217" t="str">
        <f>'Variable data'!D48</f>
        <v>pc</v>
      </c>
      <c r="C44" s="217" t="str">
        <f>VLOOKUP($A44,CountryItems!$A$2:$F$46,4,FALSE)</f>
        <v>pc</v>
      </c>
      <c r="D44" s="217">
        <f>VLOOKUP($A44,CountryItems!$A$2:$F$46,5,FALSE)</f>
        <v>1</v>
      </c>
      <c r="E44" s="218">
        <f>'Variable data'!H48</f>
        <v>0</v>
      </c>
      <c r="F44" s="219">
        <f t="shared" si="6"/>
        <v>0</v>
      </c>
      <c r="G44" s="220">
        <f>VLOOKUP($A44,CountryItems!$A$2:$F$46,6,FALSE)</f>
        <v>30</v>
      </c>
      <c r="H44" s="220">
        <f t="shared" si="7"/>
        <v>0</v>
      </c>
      <c r="I44" s="226"/>
      <c r="J44" s="221">
        <f t="shared" si="8"/>
        <v>0</v>
      </c>
      <c r="K44" s="222" t="str">
        <f t="shared" si="9"/>
        <v>pc</v>
      </c>
      <c r="L44" s="223" t="s">
        <v>249</v>
      </c>
      <c r="M44" s="222">
        <f t="shared" si="10"/>
        <v>1</v>
      </c>
      <c r="N44" s="222" t="str">
        <f t="shared" si="11"/>
        <v>pc</v>
      </c>
      <c r="O44" s="216" t="str">
        <f>VLOOKUP($A44,CountryItems!$A$2:$F$46,2,FALSE)</f>
        <v>Laboratory gown, prime cotton, fast to boiling, hooded button row, long sleeved, white</v>
      </c>
    </row>
    <row r="45" spans="1:15" s="224" customFormat="1" ht="39.75" customHeight="1">
      <c r="A45" s="216" t="str">
        <f>'Variable data'!A49</f>
        <v>Other product calculated per lab</v>
      </c>
      <c r="B45" s="217">
        <f>'Variable data'!D49</f>
        <v>0</v>
      </c>
      <c r="C45" s="217">
        <f>VLOOKUP($A45,CountryItems!$A$2:$F$46,4,FALSE)</f>
        <v>0</v>
      </c>
      <c r="D45" s="217">
        <f>VLOOKUP($A45,CountryItems!$A$2:$F$46,5,FALSE)</f>
        <v>0</v>
      </c>
      <c r="E45" s="218">
        <f>'Variable data'!H49</f>
        <v>0</v>
      </c>
      <c r="F45" s="219">
        <f t="shared" si="6"/>
      </c>
      <c r="G45" s="220">
        <f>VLOOKUP($A45,CountryItems!$A$2:$F$46,6,FALSE)</f>
        <v>0</v>
      </c>
      <c r="H45" s="220">
        <f t="shared" si="7"/>
      </c>
      <c r="I45" s="226"/>
      <c r="J45" s="221">
        <f t="shared" si="8"/>
        <v>0</v>
      </c>
      <c r="K45" s="222">
        <f t="shared" si="9"/>
        <v>0</v>
      </c>
      <c r="L45" s="223" t="s">
        <v>249</v>
      </c>
      <c r="M45" s="222">
        <f t="shared" si="10"/>
        <v>0</v>
      </c>
      <c r="N45" s="222">
        <f t="shared" si="11"/>
        <v>0</v>
      </c>
      <c r="O45" s="216" t="str">
        <f>VLOOKUP($A45,CountryItems!$A$2:$F$46,2,FALSE)</f>
        <v>Laboratory gown, prime cotton, fast to boiling, hooded button row, long sleeved, white</v>
      </c>
    </row>
    <row r="46" spans="1:15" s="224" customFormat="1" ht="39.75" customHeight="1" thickBot="1">
      <c r="A46" s="216" t="str">
        <f>'Variable data'!A50</f>
        <v>Other product calculated per lab</v>
      </c>
      <c r="B46" s="217">
        <f>'Variable data'!D50</f>
        <v>0</v>
      </c>
      <c r="C46" s="217">
        <f>VLOOKUP($A46,CountryItems!$A$2:$F$46,4,FALSE)</f>
        <v>0</v>
      </c>
      <c r="D46" s="217">
        <f>VLOOKUP($A46,CountryItems!$A$2:$F$46,5,FALSE)</f>
        <v>0</v>
      </c>
      <c r="E46" s="218">
        <f>'Variable data'!H50</f>
        <v>0</v>
      </c>
      <c r="F46" s="219">
        <f t="shared" si="6"/>
      </c>
      <c r="G46" s="220">
        <f>VLOOKUP($A46,CountryItems!$A$2:$F$46,6,FALSE)</f>
        <v>0</v>
      </c>
      <c r="H46" s="220">
        <f t="shared" si="7"/>
      </c>
      <c r="I46" s="227"/>
      <c r="J46" s="221">
        <f t="shared" si="8"/>
        <v>0</v>
      </c>
      <c r="K46" s="222">
        <f t="shared" si="9"/>
        <v>0</v>
      </c>
      <c r="L46" s="223" t="s">
        <v>249</v>
      </c>
      <c r="M46" s="222">
        <f t="shared" si="10"/>
        <v>0</v>
      </c>
      <c r="N46" s="222">
        <f t="shared" si="11"/>
        <v>0</v>
      </c>
      <c r="O46" s="216" t="str">
        <f>VLOOKUP($A46,CountryItems!$A$2:$F$46,2,FALSE)</f>
        <v>Laboratory gown, prime cotton, fast to boiling, hooded button row, long sleeved, white</v>
      </c>
    </row>
    <row r="47" spans="9:14" ht="12.75">
      <c r="I47" s="151"/>
      <c r="J47" s="152"/>
      <c r="K47" s="151"/>
      <c r="L47" s="153"/>
      <c r="M47" s="151"/>
      <c r="N47" s="151"/>
    </row>
    <row r="48" spans="9:14" ht="12.75">
      <c r="I48" s="151"/>
      <c r="J48" s="152"/>
      <c r="K48" s="151"/>
      <c r="L48" s="153"/>
      <c r="M48" s="151"/>
      <c r="N48" s="151"/>
    </row>
    <row r="49" spans="9:14" ht="12.75">
      <c r="I49" s="151"/>
      <c r="J49" s="152"/>
      <c r="K49" s="151"/>
      <c r="L49" s="153"/>
      <c r="M49" s="151"/>
      <c r="N49" s="151"/>
    </row>
    <row r="50" spans="9:14" ht="12.75">
      <c r="I50" s="151"/>
      <c r="J50" s="152"/>
      <c r="K50" s="151"/>
      <c r="L50" s="153"/>
      <c r="M50" s="151"/>
      <c r="N50" s="151"/>
    </row>
    <row r="51" spans="9:14" ht="12.75">
      <c r="I51" s="151"/>
      <c r="J51" s="152"/>
      <c r="K51" s="151"/>
      <c r="L51" s="153"/>
      <c r="M51" s="151"/>
      <c r="N51" s="151"/>
    </row>
    <row r="52" spans="9:14" ht="12.75">
      <c r="I52" s="151"/>
      <c r="J52" s="152"/>
      <c r="K52" s="151"/>
      <c r="L52" s="153"/>
      <c r="M52" s="151"/>
      <c r="N52" s="151"/>
    </row>
    <row r="53" spans="9:14" ht="12.75">
      <c r="I53" s="151"/>
      <c r="J53" s="152"/>
      <c r="K53" s="151"/>
      <c r="L53" s="153"/>
      <c r="M53" s="151"/>
      <c r="N53" s="151"/>
    </row>
    <row r="54" spans="9:14" ht="12.75">
      <c r="I54" s="151"/>
      <c r="J54" s="152"/>
      <c r="K54" s="151"/>
      <c r="L54" s="153"/>
      <c r="M54" s="151"/>
      <c r="N54" s="151"/>
    </row>
    <row r="55" spans="9:14" ht="12.75">
      <c r="I55" s="151"/>
      <c r="J55" s="152"/>
      <c r="K55" s="151"/>
      <c r="L55" s="153"/>
      <c r="M55" s="151"/>
      <c r="N55" s="151"/>
    </row>
    <row r="56" spans="9:14" ht="12.75">
      <c r="I56" s="151"/>
      <c r="J56" s="152"/>
      <c r="K56" s="151"/>
      <c r="L56" s="153"/>
      <c r="M56" s="151"/>
      <c r="N56" s="151"/>
    </row>
    <row r="57" spans="9:14" ht="12.75">
      <c r="I57" s="151"/>
      <c r="J57" s="152"/>
      <c r="K57" s="151"/>
      <c r="L57" s="153"/>
      <c r="M57" s="151"/>
      <c r="N57" s="151"/>
    </row>
    <row r="58" spans="9:14" ht="12.75">
      <c r="I58" s="151"/>
      <c r="J58" s="152"/>
      <c r="K58" s="151"/>
      <c r="L58" s="153"/>
      <c r="M58" s="151"/>
      <c r="N58" s="151"/>
    </row>
    <row r="59" spans="9:14" ht="12.75">
      <c r="I59" s="151"/>
      <c r="J59" s="152"/>
      <c r="K59" s="151"/>
      <c r="L59" s="153"/>
      <c r="M59" s="151"/>
      <c r="N59" s="151"/>
    </row>
    <row r="60" spans="9:14" ht="12.75">
      <c r="I60" s="151"/>
      <c r="J60" s="152"/>
      <c r="K60" s="151"/>
      <c r="L60" s="153"/>
      <c r="M60" s="151"/>
      <c r="N60" s="151"/>
    </row>
    <row r="61" spans="9:14" ht="12.75">
      <c r="I61" s="151"/>
      <c r="J61" s="152"/>
      <c r="K61" s="151"/>
      <c r="L61" s="153"/>
      <c r="M61" s="151"/>
      <c r="N61" s="151"/>
    </row>
    <row r="62" spans="9:14" ht="12.75">
      <c r="I62" s="151"/>
      <c r="J62" s="152"/>
      <c r="K62" s="151"/>
      <c r="L62" s="153"/>
      <c r="M62" s="151"/>
      <c r="N62" s="151"/>
    </row>
    <row r="63" spans="9:14" ht="12.75">
      <c r="I63" s="151"/>
      <c r="J63" s="152"/>
      <c r="K63" s="151"/>
      <c r="L63" s="153"/>
      <c r="M63" s="151"/>
      <c r="N63" s="151"/>
    </row>
    <row r="64" spans="9:14" ht="12.75">
      <c r="I64" s="151"/>
      <c r="J64" s="152"/>
      <c r="K64" s="151"/>
      <c r="L64" s="153"/>
      <c r="M64" s="151"/>
      <c r="N64" s="151"/>
    </row>
    <row r="65" spans="9:14" ht="12.75">
      <c r="I65" s="151"/>
      <c r="J65" s="152"/>
      <c r="K65" s="151"/>
      <c r="L65" s="153"/>
      <c r="M65" s="151"/>
      <c r="N65" s="151"/>
    </row>
    <row r="66" spans="9:14" ht="12.75">
      <c r="I66" s="151"/>
      <c r="J66" s="152"/>
      <c r="K66" s="151"/>
      <c r="L66" s="153"/>
      <c r="M66" s="151"/>
      <c r="N66" s="151"/>
    </row>
    <row r="67" spans="9:14" ht="12.75">
      <c r="I67" s="151"/>
      <c r="J67" s="152"/>
      <c r="K67" s="151"/>
      <c r="L67" s="153"/>
      <c r="M67" s="151"/>
      <c r="N67" s="151"/>
    </row>
    <row r="68" spans="9:14" ht="12.75">
      <c r="I68" s="151"/>
      <c r="J68" s="152"/>
      <c r="K68" s="151"/>
      <c r="L68" s="153"/>
      <c r="M68" s="151"/>
      <c r="N68" s="151"/>
    </row>
    <row r="69" spans="9:14" ht="12.75">
      <c r="I69" s="151"/>
      <c r="J69" s="152"/>
      <c r="K69" s="151"/>
      <c r="L69" s="153"/>
      <c r="M69" s="151"/>
      <c r="N69" s="151"/>
    </row>
    <row r="70" spans="9:14" ht="12.75">
      <c r="I70" s="151"/>
      <c r="J70" s="152"/>
      <c r="K70" s="151"/>
      <c r="L70" s="153"/>
      <c r="M70" s="151"/>
      <c r="N70" s="151"/>
    </row>
    <row r="71" spans="9:14" ht="12.75">
      <c r="I71" s="151"/>
      <c r="J71" s="152"/>
      <c r="K71" s="151"/>
      <c r="L71" s="153"/>
      <c r="M71" s="151"/>
      <c r="N71" s="151"/>
    </row>
    <row r="72" spans="9:14" ht="12.75">
      <c r="I72" s="151"/>
      <c r="J72" s="152"/>
      <c r="K72" s="151"/>
      <c r="L72" s="153"/>
      <c r="M72" s="151"/>
      <c r="N72" s="151"/>
    </row>
    <row r="73" spans="9:14" ht="12.75">
      <c r="I73" s="151"/>
      <c r="J73" s="152"/>
      <c r="K73" s="151"/>
      <c r="L73" s="153"/>
      <c r="M73" s="151"/>
      <c r="N73" s="151"/>
    </row>
    <row r="74" spans="9:14" ht="12.75">
      <c r="I74" s="151"/>
      <c r="J74" s="152"/>
      <c r="K74" s="151"/>
      <c r="L74" s="153"/>
      <c r="M74" s="151"/>
      <c r="N74" s="151"/>
    </row>
    <row r="75" spans="9:14" ht="12.75">
      <c r="I75" s="151"/>
      <c r="J75" s="152"/>
      <c r="K75" s="151"/>
      <c r="L75" s="153"/>
      <c r="M75" s="151"/>
      <c r="N75" s="151"/>
    </row>
    <row r="76" spans="9:14" ht="12.75">
      <c r="I76" s="151"/>
      <c r="J76" s="152"/>
      <c r="K76" s="151"/>
      <c r="L76" s="153"/>
      <c r="M76" s="151"/>
      <c r="N76" s="151"/>
    </row>
    <row r="77" spans="9:14" ht="12.75">
      <c r="I77" s="151"/>
      <c r="J77" s="152"/>
      <c r="K77" s="151"/>
      <c r="L77" s="153"/>
      <c r="M77" s="151"/>
      <c r="N77" s="151"/>
    </row>
    <row r="78" spans="9:14" ht="12.75">
      <c r="I78" s="151"/>
      <c r="J78" s="152"/>
      <c r="K78" s="151"/>
      <c r="L78" s="153"/>
      <c r="M78" s="151"/>
      <c r="N78" s="151"/>
    </row>
    <row r="79" spans="9:14" ht="12.75">
      <c r="I79" s="151"/>
      <c r="J79" s="152"/>
      <c r="K79" s="151"/>
      <c r="L79" s="153"/>
      <c r="M79" s="151"/>
      <c r="N79" s="151"/>
    </row>
    <row r="80" spans="9:14" ht="12.75">
      <c r="I80" s="151"/>
      <c r="J80" s="152"/>
      <c r="K80" s="151"/>
      <c r="L80" s="153"/>
      <c r="M80" s="151"/>
      <c r="N80" s="151"/>
    </row>
    <row r="81" spans="9:14" ht="12.75">
      <c r="I81" s="151"/>
      <c r="J81" s="152"/>
      <c r="K81" s="151"/>
      <c r="L81" s="153"/>
      <c r="M81" s="151"/>
      <c r="N81" s="151"/>
    </row>
    <row r="82" spans="9:14" ht="12.75">
      <c r="I82" s="151"/>
      <c r="J82" s="152"/>
      <c r="K82" s="151"/>
      <c r="L82" s="153"/>
      <c r="M82" s="151"/>
      <c r="N82" s="151"/>
    </row>
    <row r="83" spans="9:14" ht="12.75">
      <c r="I83" s="151"/>
      <c r="J83" s="152"/>
      <c r="K83" s="151"/>
      <c r="L83" s="153"/>
      <c r="M83" s="151"/>
      <c r="N83" s="151"/>
    </row>
    <row r="84" spans="9:14" ht="12.75">
      <c r="I84" s="151"/>
      <c r="J84" s="152"/>
      <c r="K84" s="151"/>
      <c r="L84" s="153"/>
      <c r="M84" s="151"/>
      <c r="N84" s="151"/>
    </row>
    <row r="85" spans="9:14" ht="12.75">
      <c r="I85" s="151"/>
      <c r="J85" s="152"/>
      <c r="K85" s="151"/>
      <c r="L85" s="153"/>
      <c r="M85" s="151"/>
      <c r="N85" s="151"/>
    </row>
    <row r="86" spans="9:14" ht="12.75">
      <c r="I86" s="151"/>
      <c r="J86" s="152"/>
      <c r="K86" s="151"/>
      <c r="L86" s="153"/>
      <c r="M86" s="151"/>
      <c r="N86" s="151"/>
    </row>
    <row r="87" spans="9:14" ht="12.75">
      <c r="I87" s="151"/>
      <c r="J87" s="152"/>
      <c r="K87" s="151"/>
      <c r="L87" s="153"/>
      <c r="M87" s="151"/>
      <c r="N87" s="151"/>
    </row>
    <row r="88" spans="9:14" ht="12.75">
      <c r="I88" s="151"/>
      <c r="J88" s="152"/>
      <c r="K88" s="151"/>
      <c r="L88" s="153"/>
      <c r="M88" s="151"/>
      <c r="N88" s="151"/>
    </row>
    <row r="89" spans="9:14" ht="12.75">
      <c r="I89" s="151"/>
      <c r="J89" s="152"/>
      <c r="K89" s="151"/>
      <c r="L89" s="153"/>
      <c r="M89" s="151"/>
      <c r="N89" s="151"/>
    </row>
    <row r="90" spans="9:14" ht="12.75">
      <c r="I90" s="151"/>
      <c r="J90" s="152"/>
      <c r="K90" s="151"/>
      <c r="L90" s="153"/>
      <c r="M90" s="151"/>
      <c r="N90" s="151"/>
    </row>
    <row r="91" spans="9:14" ht="12.75">
      <c r="I91" s="151"/>
      <c r="J91" s="152"/>
      <c r="K91" s="151"/>
      <c r="L91" s="153"/>
      <c r="M91" s="151"/>
      <c r="N91" s="151"/>
    </row>
    <row r="92" spans="9:14" ht="12.75">
      <c r="I92" s="151"/>
      <c r="J92" s="152"/>
      <c r="K92" s="151"/>
      <c r="L92" s="153"/>
      <c r="M92" s="151"/>
      <c r="N92" s="151"/>
    </row>
    <row r="93" spans="9:14" ht="12.75">
      <c r="I93" s="151"/>
      <c r="J93" s="152"/>
      <c r="K93" s="151"/>
      <c r="L93" s="153"/>
      <c r="M93" s="151"/>
      <c r="N93" s="151"/>
    </row>
    <row r="94" spans="9:14" ht="12.75">
      <c r="I94" s="151"/>
      <c r="J94" s="152"/>
      <c r="K94" s="151"/>
      <c r="L94" s="153"/>
      <c r="M94" s="151"/>
      <c r="N94" s="151"/>
    </row>
    <row r="95" spans="9:14" ht="12.75">
      <c r="I95" s="151"/>
      <c r="J95" s="152"/>
      <c r="K95" s="151"/>
      <c r="L95" s="153"/>
      <c r="M95" s="151"/>
      <c r="N95" s="151"/>
    </row>
    <row r="96" spans="9:14" ht="12.75">
      <c r="I96" s="151"/>
      <c r="J96" s="152"/>
      <c r="K96" s="151"/>
      <c r="L96" s="153"/>
      <c r="M96" s="151"/>
      <c r="N96" s="151"/>
    </row>
    <row r="97" spans="9:14" ht="12.75">
      <c r="I97" s="151"/>
      <c r="J97" s="152"/>
      <c r="K97" s="151"/>
      <c r="L97" s="153"/>
      <c r="M97" s="151"/>
      <c r="N97" s="151"/>
    </row>
    <row r="98" spans="9:14" ht="12.75">
      <c r="I98" s="151"/>
      <c r="J98" s="152"/>
      <c r="K98" s="151"/>
      <c r="L98" s="153"/>
      <c r="M98" s="151"/>
      <c r="N98" s="151"/>
    </row>
    <row r="99" spans="9:14" ht="12.75">
      <c r="I99" s="151"/>
      <c r="J99" s="152"/>
      <c r="K99" s="151"/>
      <c r="L99" s="153"/>
      <c r="M99" s="151"/>
      <c r="N99" s="151"/>
    </row>
    <row r="100" spans="9:14" ht="12.75">
      <c r="I100" s="151"/>
      <c r="J100" s="152"/>
      <c r="K100" s="151"/>
      <c r="L100" s="153"/>
      <c r="M100" s="151"/>
      <c r="N100" s="151"/>
    </row>
    <row r="101" spans="9:14" ht="12.75">
      <c r="I101" s="151"/>
      <c r="J101" s="152"/>
      <c r="K101" s="151"/>
      <c r="L101" s="153"/>
      <c r="M101" s="151"/>
      <c r="N101" s="151"/>
    </row>
    <row r="102" spans="9:14" ht="12.75">
      <c r="I102" s="151"/>
      <c r="J102" s="152"/>
      <c r="K102" s="151"/>
      <c r="L102" s="153"/>
      <c r="M102" s="151"/>
      <c r="N102" s="151"/>
    </row>
    <row r="103" spans="9:14" ht="12.75">
      <c r="I103" s="151"/>
      <c r="J103" s="152"/>
      <c r="K103" s="151"/>
      <c r="L103" s="153"/>
      <c r="M103" s="151"/>
      <c r="N103" s="151"/>
    </row>
    <row r="104" spans="9:14" ht="12.75">
      <c r="I104" s="151"/>
      <c r="J104" s="152"/>
      <c r="K104" s="151"/>
      <c r="L104" s="153"/>
      <c r="M104" s="151"/>
      <c r="N104" s="151"/>
    </row>
    <row r="105" spans="9:14" ht="12.75">
      <c r="I105" s="151"/>
      <c r="J105" s="152"/>
      <c r="K105" s="151"/>
      <c r="L105" s="153"/>
      <c r="M105" s="151"/>
      <c r="N105" s="151"/>
    </row>
    <row r="106" spans="9:14" ht="12.75">
      <c r="I106" s="151"/>
      <c r="J106" s="152"/>
      <c r="K106" s="151"/>
      <c r="L106" s="153"/>
      <c r="M106" s="151"/>
      <c r="N106" s="151"/>
    </row>
    <row r="107" spans="9:14" ht="12.75">
      <c r="I107" s="151"/>
      <c r="J107" s="152"/>
      <c r="K107" s="151"/>
      <c r="L107" s="153"/>
      <c r="M107" s="151"/>
      <c r="N107" s="151"/>
    </row>
    <row r="108" spans="9:14" ht="12.75">
      <c r="I108" s="151"/>
      <c r="J108" s="152"/>
      <c r="K108" s="151"/>
      <c r="L108" s="153"/>
      <c r="M108" s="151"/>
      <c r="N108" s="151"/>
    </row>
    <row r="109" spans="9:14" ht="12.75">
      <c r="I109" s="151"/>
      <c r="J109" s="152"/>
      <c r="K109" s="151"/>
      <c r="L109" s="153"/>
      <c r="M109" s="151"/>
      <c r="N109" s="151"/>
    </row>
    <row r="110" spans="9:14" ht="12.75">
      <c r="I110" s="151"/>
      <c r="J110" s="152"/>
      <c r="K110" s="151"/>
      <c r="L110" s="153"/>
      <c r="M110" s="151"/>
      <c r="N110" s="151"/>
    </row>
    <row r="111" spans="9:14" ht="12.75">
      <c r="I111" s="151"/>
      <c r="J111" s="152"/>
      <c r="K111" s="151"/>
      <c r="L111" s="153"/>
      <c r="M111" s="151"/>
      <c r="N111" s="151"/>
    </row>
    <row r="112" spans="9:14" ht="12.75">
      <c r="I112" s="151"/>
      <c r="J112" s="152"/>
      <c r="K112" s="151"/>
      <c r="L112" s="153"/>
      <c r="M112" s="151"/>
      <c r="N112" s="151"/>
    </row>
    <row r="113" spans="9:14" ht="12.75">
      <c r="I113" s="151"/>
      <c r="J113" s="152"/>
      <c r="K113" s="151"/>
      <c r="L113" s="153"/>
      <c r="M113" s="151"/>
      <c r="N113" s="151"/>
    </row>
    <row r="114" spans="9:14" ht="12.75">
      <c r="I114" s="151"/>
      <c r="J114" s="152"/>
      <c r="K114" s="151"/>
      <c r="L114" s="153"/>
      <c r="M114" s="151"/>
      <c r="N114" s="151"/>
    </row>
    <row r="115" spans="9:14" ht="12.75">
      <c r="I115" s="151"/>
      <c r="J115" s="152"/>
      <c r="K115" s="151"/>
      <c r="L115" s="153"/>
      <c r="M115" s="151"/>
      <c r="N115" s="151"/>
    </row>
    <row r="116" spans="9:14" ht="12.75">
      <c r="I116" s="151"/>
      <c r="J116" s="152"/>
      <c r="K116" s="151"/>
      <c r="L116" s="153"/>
      <c r="M116" s="151"/>
      <c r="N116" s="151"/>
    </row>
    <row r="117" spans="9:14" ht="12.75">
      <c r="I117" s="151"/>
      <c r="J117" s="152"/>
      <c r="K117" s="151"/>
      <c r="L117" s="153"/>
      <c r="M117" s="151"/>
      <c r="N117" s="151"/>
    </row>
    <row r="118" spans="9:14" ht="12.75">
      <c r="I118" s="151"/>
      <c r="J118" s="152"/>
      <c r="K118" s="151"/>
      <c r="L118" s="153"/>
      <c r="M118" s="151"/>
      <c r="N118" s="151"/>
    </row>
    <row r="119" spans="9:14" ht="12.75">
      <c r="I119" s="151"/>
      <c r="J119" s="152"/>
      <c r="K119" s="151"/>
      <c r="L119" s="153"/>
      <c r="M119" s="151"/>
      <c r="N119" s="151"/>
    </row>
    <row r="120" spans="9:14" ht="12.75">
      <c r="I120" s="151"/>
      <c r="J120" s="152"/>
      <c r="K120" s="151"/>
      <c r="L120" s="153"/>
      <c r="M120" s="151"/>
      <c r="N120" s="151"/>
    </row>
    <row r="121" spans="9:14" ht="12.75">
      <c r="I121" s="151"/>
      <c r="J121" s="152"/>
      <c r="K121" s="151"/>
      <c r="L121" s="153"/>
      <c r="M121" s="151"/>
      <c r="N121" s="151"/>
    </row>
    <row r="122" spans="9:14" ht="12.75">
      <c r="I122" s="151"/>
      <c r="J122" s="152"/>
      <c r="K122" s="151"/>
      <c r="L122" s="153"/>
      <c r="M122" s="151"/>
      <c r="N122" s="151"/>
    </row>
    <row r="123" spans="9:14" ht="12.75">
      <c r="I123" s="151"/>
      <c r="J123" s="152"/>
      <c r="K123" s="151"/>
      <c r="L123" s="153"/>
      <c r="M123" s="151"/>
      <c r="N123" s="151"/>
    </row>
    <row r="124" spans="9:14" ht="12.75">
      <c r="I124" s="151"/>
      <c r="J124" s="152"/>
      <c r="K124" s="151"/>
      <c r="L124" s="153"/>
      <c r="M124" s="151"/>
      <c r="N124" s="151"/>
    </row>
    <row r="125" spans="9:14" ht="12.75">
      <c r="I125" s="151"/>
      <c r="J125" s="152"/>
      <c r="K125" s="151"/>
      <c r="L125" s="153"/>
      <c r="M125" s="151"/>
      <c r="N125" s="151"/>
    </row>
    <row r="126" spans="9:14" ht="12.75">
      <c r="I126" s="151"/>
      <c r="J126" s="152"/>
      <c r="K126" s="151"/>
      <c r="L126" s="153"/>
      <c r="M126" s="151"/>
      <c r="N126" s="151"/>
    </row>
    <row r="127" spans="9:14" ht="12.75">
      <c r="I127" s="151"/>
      <c r="J127" s="152"/>
      <c r="K127" s="151"/>
      <c r="L127" s="153"/>
      <c r="M127" s="151"/>
      <c r="N127" s="151"/>
    </row>
  </sheetData>
  <sheetProtection sheet="1" objects="1" scenarios="1" formatColumns="0" formatRows="0" autoFilter="0"/>
  <autoFilter ref="I5:I46"/>
  <mergeCells count="1">
    <mergeCell ref="F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X60"/>
  <sheetViews>
    <sheetView showGridLines="0" zoomScale="68" zoomScaleNormal="68" workbookViewId="0" topLeftCell="A1">
      <selection activeCell="A1" sqref="A1:R1"/>
    </sheetView>
  </sheetViews>
  <sheetFormatPr defaultColWidth="9.00390625" defaultRowHeight="14.25"/>
  <cols>
    <col min="1" max="1" width="12.375" style="1" customWidth="1"/>
    <col min="2" max="2" width="23.75390625" style="1" customWidth="1"/>
    <col min="3" max="3" width="10.00390625" style="1" customWidth="1"/>
    <col min="4" max="4" width="10.375" style="1" customWidth="1"/>
    <col min="5" max="5" width="10.625" style="1" customWidth="1"/>
    <col min="6" max="6" width="6.125" style="1" customWidth="1"/>
    <col min="7" max="7" width="16.625" style="1" customWidth="1"/>
    <col min="8" max="8" width="9.875" style="1" customWidth="1"/>
    <col min="9" max="9" width="6.375" style="1" customWidth="1"/>
    <col min="10" max="10" width="3.375" style="1" customWidth="1"/>
    <col min="11" max="11" width="7.875" style="1" customWidth="1"/>
    <col min="12" max="12" width="10.75390625" style="1" customWidth="1"/>
    <col min="13" max="13" width="3.75390625" style="1" customWidth="1"/>
    <col min="14" max="14" width="8.25390625" style="1" customWidth="1"/>
    <col min="15" max="15" width="11.00390625" style="1" customWidth="1"/>
    <col min="16" max="16" width="13.00390625" style="1" customWidth="1"/>
    <col min="17" max="17" width="10.125" style="95" customWidth="1"/>
    <col min="18" max="18" width="19.50390625" style="1" customWidth="1"/>
    <col min="19" max="20" width="9.00390625" style="1" customWidth="1"/>
    <col min="21" max="21" width="15.00390625" style="1" customWidth="1"/>
    <col min="22" max="16384" width="9.00390625" style="1" customWidth="1"/>
  </cols>
  <sheetData>
    <row r="1" spans="1:18" ht="23.25">
      <c r="A1" s="231" t="s">
        <v>188</v>
      </c>
      <c r="B1" s="231"/>
      <c r="C1" s="231"/>
      <c r="D1" s="231"/>
      <c r="E1" s="231"/>
      <c r="F1" s="231"/>
      <c r="G1" s="231"/>
      <c r="H1" s="231"/>
      <c r="I1" s="231"/>
      <c r="J1" s="231"/>
      <c r="K1" s="231"/>
      <c r="L1" s="231"/>
      <c r="M1" s="231"/>
      <c r="N1" s="231"/>
      <c r="O1" s="231"/>
      <c r="P1" s="231"/>
      <c r="Q1" s="231"/>
      <c r="R1" s="231"/>
    </row>
    <row r="2" spans="1:18" ht="15">
      <c r="A2" s="95"/>
      <c r="B2" s="95"/>
      <c r="C2" s="95"/>
      <c r="D2" s="95"/>
      <c r="E2" s="95"/>
      <c r="F2" s="95"/>
      <c r="G2" s="96"/>
      <c r="H2" s="96"/>
      <c r="I2" s="95"/>
      <c r="J2" s="95"/>
      <c r="K2" s="95"/>
      <c r="L2" s="95"/>
      <c r="M2" s="95"/>
      <c r="N2" s="95"/>
      <c r="O2" s="95"/>
      <c r="P2" s="95"/>
      <c r="Q2" s="140"/>
      <c r="R2" s="95"/>
    </row>
    <row r="3" spans="1:18" s="37" customFormat="1" ht="18">
      <c r="A3" s="97" t="s">
        <v>128</v>
      </c>
      <c r="B3" s="237"/>
      <c r="C3" s="237"/>
      <c r="D3" s="97"/>
      <c r="E3" s="97"/>
      <c r="F3" s="98" t="s">
        <v>129</v>
      </c>
      <c r="G3" s="94"/>
      <c r="H3" s="57"/>
      <c r="I3" s="98" t="s">
        <v>130</v>
      </c>
      <c r="J3" s="89"/>
      <c r="K3" s="57"/>
      <c r="L3" s="97"/>
      <c r="M3" s="99"/>
      <c r="N3" s="97"/>
      <c r="O3" s="97"/>
      <c r="P3" s="97"/>
      <c r="Q3" s="97"/>
      <c r="R3" s="97"/>
    </row>
    <row r="4" spans="1:18" s="3" customFormat="1" ht="16.5" thickBot="1">
      <c r="A4" s="5"/>
      <c r="B4" s="4"/>
      <c r="C4" s="5"/>
      <c r="D4" s="5"/>
      <c r="E4" s="5"/>
      <c r="F4" s="5"/>
      <c r="G4" s="5"/>
      <c r="H4" s="5"/>
      <c r="I4" s="5"/>
      <c r="J4" s="5"/>
      <c r="K4" s="5"/>
      <c r="L4" s="5"/>
      <c r="M4" s="5"/>
      <c r="N4" s="5"/>
      <c r="O4" s="5"/>
      <c r="P4" s="5"/>
      <c r="Q4" s="5"/>
      <c r="R4" s="5"/>
    </row>
    <row r="5" spans="2:20" s="111" customFormat="1" ht="30" customHeight="1" thickBot="1" thickTop="1">
      <c r="B5" s="106" t="s">
        <v>201</v>
      </c>
      <c r="C5" s="105"/>
      <c r="D5" s="105"/>
      <c r="E5" s="105"/>
      <c r="F5" s="105"/>
      <c r="G5" s="105"/>
      <c r="H5" s="108">
        <v>12</v>
      </c>
      <c r="I5" s="121" t="s">
        <v>203</v>
      </c>
      <c r="L5" s="234">
        <v>10000</v>
      </c>
      <c r="M5" s="235"/>
      <c r="N5" s="105" t="s">
        <v>113</v>
      </c>
      <c r="O5" s="238" t="s">
        <v>233</v>
      </c>
      <c r="P5" s="238"/>
      <c r="Q5" s="238"/>
      <c r="R5" s="238"/>
      <c r="S5" s="238"/>
      <c r="T5" s="238"/>
    </row>
    <row r="6" spans="2:20" s="111" customFormat="1" ht="30" customHeight="1" thickBot="1" thickTop="1">
      <c r="B6" s="106" t="s">
        <v>202</v>
      </c>
      <c r="C6" s="105"/>
      <c r="D6" s="105"/>
      <c r="E6" s="105"/>
      <c r="F6" s="105"/>
      <c r="G6" s="105"/>
      <c r="H6" s="108">
        <v>12</v>
      </c>
      <c r="I6" s="121" t="s">
        <v>203</v>
      </c>
      <c r="L6" s="234">
        <v>10000</v>
      </c>
      <c r="M6" s="235"/>
      <c r="N6" s="105" t="s">
        <v>115</v>
      </c>
      <c r="O6" s="238"/>
      <c r="P6" s="238"/>
      <c r="Q6" s="238"/>
      <c r="R6" s="238"/>
      <c r="S6" s="238"/>
      <c r="T6" s="238"/>
    </row>
    <row r="7" spans="2:20" s="60" customFormat="1" ht="30" customHeight="1" thickBot="1" thickTop="1">
      <c r="B7" s="106" t="s">
        <v>204</v>
      </c>
      <c r="C7" s="105"/>
      <c r="D7" s="105"/>
      <c r="E7" s="105"/>
      <c r="F7" s="105"/>
      <c r="G7" s="124">
        <f>'Fixed data'!E5</f>
        <v>12</v>
      </c>
      <c r="H7" s="124">
        <f>'Fixed data'!E4</f>
        <v>12</v>
      </c>
      <c r="I7" s="107"/>
      <c r="J7" s="107"/>
      <c r="K7" s="107"/>
      <c r="L7" s="234">
        <v>10</v>
      </c>
      <c r="M7" s="235"/>
      <c r="N7" s="105" t="s">
        <v>116</v>
      </c>
      <c r="O7" s="238"/>
      <c r="P7" s="238"/>
      <c r="Q7" s="238"/>
      <c r="R7" s="238"/>
      <c r="S7" s="238"/>
      <c r="T7" s="238"/>
    </row>
    <row r="8" spans="1:18" ht="17.25" thickBot="1" thickTop="1">
      <c r="A8" s="100"/>
      <c r="B8" s="100"/>
      <c r="C8" s="100"/>
      <c r="D8" s="100"/>
      <c r="E8" s="100"/>
      <c r="F8" s="100"/>
      <c r="G8" s="101"/>
      <c r="H8" s="101"/>
      <c r="I8" s="102"/>
      <c r="J8" s="102"/>
      <c r="K8" s="102"/>
      <c r="L8" s="101"/>
      <c r="M8" s="103"/>
      <c r="N8" s="103"/>
      <c r="O8" s="103"/>
      <c r="P8" s="103"/>
      <c r="Q8" s="103"/>
      <c r="R8" s="103"/>
    </row>
    <row r="9" spans="1:24" s="34" customFormat="1" ht="79.5" thickBot="1">
      <c r="A9" s="31" t="s">
        <v>114</v>
      </c>
      <c r="B9" s="32"/>
      <c r="C9" s="232" t="s">
        <v>271</v>
      </c>
      <c r="D9" s="233"/>
      <c r="E9" s="232" t="s">
        <v>228</v>
      </c>
      <c r="F9" s="233"/>
      <c r="G9" s="123" t="s">
        <v>232</v>
      </c>
      <c r="H9" s="236" t="s">
        <v>132</v>
      </c>
      <c r="I9" s="236"/>
      <c r="J9" s="236"/>
      <c r="K9" s="236"/>
      <c r="L9" s="236"/>
      <c r="M9" s="236"/>
      <c r="N9" s="236"/>
      <c r="O9" s="236"/>
      <c r="P9" s="33" t="s">
        <v>133</v>
      </c>
      <c r="Q9" s="33" t="s">
        <v>134</v>
      </c>
      <c r="R9" s="33" t="s">
        <v>135</v>
      </c>
      <c r="S9" s="33" t="s">
        <v>134</v>
      </c>
      <c r="T9" s="114" t="s">
        <v>136</v>
      </c>
      <c r="U9" s="1"/>
      <c r="V9" s="1"/>
      <c r="W9" s="1"/>
      <c r="X9" s="1"/>
    </row>
    <row r="10" spans="1:24" s="14" customFormat="1" ht="30" customHeight="1">
      <c r="A10" s="192" t="str">
        <f>CountryItems!A2</f>
        <v>Sputum container</v>
      </c>
      <c r="B10" s="85"/>
      <c r="C10" s="127">
        <v>100</v>
      </c>
      <c r="D10" s="189" t="str">
        <f>CountryItems!C2</f>
        <v>pc</v>
      </c>
      <c r="E10" s="127">
        <v>100</v>
      </c>
      <c r="F10" s="189" t="str">
        <f>D10</f>
        <v>pc</v>
      </c>
      <c r="G10" s="125">
        <f>IF(ISERROR(Calculations!J11),"",Calculations!J11)</f>
        <v>0.12</v>
      </c>
      <c r="H10" s="129">
        <f>IF(Calculations!K11&lt;=0,0,Calculations!K11)</f>
        <v>59800</v>
      </c>
      <c r="I10" s="86" t="str">
        <f>D10</f>
        <v>pc</v>
      </c>
      <c r="J10" s="87" t="s">
        <v>157</v>
      </c>
      <c r="K10" s="139">
        <f>IF(ISERROR(Calculations!L11),"",Calculations!L11)</f>
        <v>59.8</v>
      </c>
      <c r="L10" s="137" t="str">
        <f>Calculations!M11</f>
        <v>cartons</v>
      </c>
      <c r="M10" s="87" t="s">
        <v>158</v>
      </c>
      <c r="N10" s="133">
        <f>'Fixed data'!E9</f>
        <v>1000</v>
      </c>
      <c r="O10" s="135" t="str">
        <f>Calculations!O11</f>
        <v>pc/carton</v>
      </c>
      <c r="P10" s="45"/>
      <c r="Q10" s="45"/>
      <c r="R10" s="45"/>
      <c r="S10" s="45"/>
      <c r="T10" s="45"/>
      <c r="U10" s="1"/>
      <c r="V10" s="1"/>
      <c r="W10" s="1"/>
      <c r="X10" s="1"/>
    </row>
    <row r="11" spans="1:24" s="14" customFormat="1" ht="30" customHeight="1">
      <c r="A11" s="193" t="str">
        <f>CountryItems!A3</f>
        <v>Microscopy slides</v>
      </c>
      <c r="B11" s="46"/>
      <c r="C11" s="127">
        <v>100</v>
      </c>
      <c r="D11" s="190" t="str">
        <f>CountryItems!C3</f>
        <v>pc</v>
      </c>
      <c r="E11" s="127">
        <v>100</v>
      </c>
      <c r="F11" s="190" t="str">
        <f>D11</f>
        <v>pc</v>
      </c>
      <c r="G11" s="126">
        <f>IF(ISERROR(Calculations!J12),"",Calculations!J12)</f>
        <v>0.12</v>
      </c>
      <c r="H11" s="130">
        <f>IF(Calculations!K12&lt;=0,0,Calculations!K12)</f>
        <v>59800</v>
      </c>
      <c r="I11" s="84" t="str">
        <f aca="true" t="shared" si="0" ref="I11:I34">D11</f>
        <v>pc</v>
      </c>
      <c r="J11" s="23" t="s">
        <v>157</v>
      </c>
      <c r="K11" s="25">
        <f>IF(ISERROR(Calculations!L12),"",Calculations!L12)</f>
        <v>1196</v>
      </c>
      <c r="L11" s="138" t="str">
        <f>Calculations!M12</f>
        <v>packs</v>
      </c>
      <c r="M11" s="23" t="s">
        <v>158</v>
      </c>
      <c r="N11" s="134">
        <f>'Fixed data'!E10</f>
        <v>50</v>
      </c>
      <c r="O11" s="136" t="str">
        <f>Calculations!O12</f>
        <v>pc/pack</v>
      </c>
      <c r="P11" s="22"/>
      <c r="Q11" s="22"/>
      <c r="R11" s="22"/>
      <c r="S11" s="22"/>
      <c r="T11" s="22"/>
      <c r="U11" s="1"/>
      <c r="V11" s="1"/>
      <c r="W11" s="1"/>
      <c r="X11" s="1"/>
    </row>
    <row r="12" spans="1:24" s="14" customFormat="1" ht="30" customHeight="1">
      <c r="A12" s="193" t="str">
        <f>CountryItems!A4</f>
        <v>Basic fuchsin</v>
      </c>
      <c r="B12" s="46"/>
      <c r="C12" s="127">
        <v>100</v>
      </c>
      <c r="D12" s="190" t="str">
        <f>CountryItems!C4</f>
        <v>g</v>
      </c>
      <c r="E12" s="127">
        <v>100</v>
      </c>
      <c r="F12" s="190" t="str">
        <f aca="true" t="shared" si="1" ref="F12:F49">D12</f>
        <v>g</v>
      </c>
      <c r="G12" s="126">
        <f>IF(ISERROR(Calculations!J13),"",Calculations!J13)</f>
        <v>4.799999999999999</v>
      </c>
      <c r="H12" s="130">
        <f>IF(Calculations!K13&lt;=0,0,Calculations!K13)</f>
        <v>1300.0000000000005</v>
      </c>
      <c r="I12" s="84" t="str">
        <f t="shared" si="0"/>
        <v>g</v>
      </c>
      <c r="J12" s="23" t="s">
        <v>157</v>
      </c>
      <c r="K12" s="25">
        <f>IF(ISERROR(Calculations!L13),"",Calculations!L13)</f>
        <v>13.000000000000005</v>
      </c>
      <c r="L12" s="138" t="str">
        <f>Calculations!M13</f>
        <v>containers</v>
      </c>
      <c r="M12" s="23" t="s">
        <v>158</v>
      </c>
      <c r="N12" s="134">
        <f>'Fixed data'!E11</f>
        <v>100</v>
      </c>
      <c r="O12" s="136" t="str">
        <f>Calculations!O13</f>
        <v>g/container</v>
      </c>
      <c r="P12" s="22"/>
      <c r="Q12" s="22"/>
      <c r="R12" s="22"/>
      <c r="S12" s="22"/>
      <c r="T12" s="22"/>
      <c r="U12" s="1"/>
      <c r="V12" s="1"/>
      <c r="W12" s="1"/>
      <c r="X12" s="1"/>
    </row>
    <row r="13" spans="1:24" s="14" customFormat="1" ht="30" customHeight="1">
      <c r="A13" s="193" t="str">
        <f>CountryItems!A5</f>
        <v>Phenol</v>
      </c>
      <c r="B13" s="46"/>
      <c r="C13" s="127">
        <v>100</v>
      </c>
      <c r="D13" s="190" t="str">
        <f>CountryItems!C5</f>
        <v>g</v>
      </c>
      <c r="E13" s="127">
        <v>100</v>
      </c>
      <c r="F13" s="190" t="str">
        <f t="shared" si="1"/>
        <v>g</v>
      </c>
      <c r="G13" s="126">
        <f>IF(ISERROR(Calculations!J14),"",Calculations!J14)</f>
        <v>0.6</v>
      </c>
      <c r="H13" s="130">
        <f>IF(Calculations!K14&lt;=0,0,Calculations!K14)</f>
        <v>11800</v>
      </c>
      <c r="I13" s="84" t="str">
        <f t="shared" si="0"/>
        <v>g</v>
      </c>
      <c r="J13" s="23" t="s">
        <v>157</v>
      </c>
      <c r="K13" s="25">
        <f>IF(ISERROR(Calculations!L14),"",Calculations!L14)</f>
        <v>11.8</v>
      </c>
      <c r="L13" s="138" t="str">
        <f>Calculations!M14</f>
        <v>containers</v>
      </c>
      <c r="M13" s="23" t="s">
        <v>158</v>
      </c>
      <c r="N13" s="134">
        <f>'Fixed data'!E12</f>
        <v>1000</v>
      </c>
      <c r="O13" s="136" t="str">
        <f>Calculations!O14</f>
        <v>g/container</v>
      </c>
      <c r="P13" s="22"/>
      <c r="Q13" s="22"/>
      <c r="R13" s="22"/>
      <c r="S13" s="22"/>
      <c r="T13" s="22"/>
      <c r="U13" s="1"/>
      <c r="V13" s="1"/>
      <c r="W13" s="1"/>
      <c r="X13" s="1"/>
    </row>
    <row r="14" spans="1:24" s="14" customFormat="1" ht="30" customHeight="1">
      <c r="A14" s="193" t="str">
        <f>CountryItems!A6</f>
        <v>Auramine O</v>
      </c>
      <c r="B14" s="46"/>
      <c r="C14" s="127">
        <v>100</v>
      </c>
      <c r="D14" s="190" t="str">
        <f>CountryItems!C6</f>
        <v>g</v>
      </c>
      <c r="E14" s="127">
        <v>100</v>
      </c>
      <c r="F14" s="190" t="str">
        <f t="shared" si="1"/>
        <v>g</v>
      </c>
      <c r="G14" s="126">
        <f>IF(ISERROR(Calculations!J16),"",Calculations!J16)</f>
        <v>48</v>
      </c>
      <c r="H14" s="130">
        <f>IF(Calculations!K16&lt;=0,0,Calculations!K16)</f>
        <v>0</v>
      </c>
      <c r="I14" s="84" t="str">
        <f>D14</f>
        <v>g</v>
      </c>
      <c r="J14" s="23" t="s">
        <v>157</v>
      </c>
      <c r="K14" s="25">
        <f>IF(ISERROR(Calculations!L16),"",Calculations!L16)</f>
        <v>0</v>
      </c>
      <c r="L14" s="138" t="str">
        <f>Calculations!M16</f>
        <v>containers</v>
      </c>
      <c r="M14" s="23" t="s">
        <v>158</v>
      </c>
      <c r="N14" s="134">
        <f>'Fixed data'!E14</f>
        <v>50</v>
      </c>
      <c r="O14" s="136" t="str">
        <f>Calculations!O16</f>
        <v>g/container</v>
      </c>
      <c r="P14" s="22"/>
      <c r="Q14" s="22"/>
      <c r="R14" s="22"/>
      <c r="S14" s="22"/>
      <c r="T14" s="22"/>
      <c r="U14" s="1"/>
      <c r="V14" s="1"/>
      <c r="W14" s="1"/>
      <c r="X14" s="1"/>
    </row>
    <row r="15" spans="1:24" s="14" customFormat="1" ht="30" customHeight="1">
      <c r="A15" s="193" t="str">
        <f>CountryItems!A7</f>
        <v>Potassium permanganate</v>
      </c>
      <c r="B15" s="46"/>
      <c r="C15" s="127">
        <v>100</v>
      </c>
      <c r="D15" s="190" t="str">
        <f>CountryItems!C7</f>
        <v>g</v>
      </c>
      <c r="E15" s="127">
        <v>100</v>
      </c>
      <c r="F15" s="190" t="str">
        <f t="shared" si="1"/>
        <v>g</v>
      </c>
      <c r="G15" s="126">
        <f>IF(ISERROR(Calculations!J17),"",Calculations!J17)</f>
      </c>
      <c r="H15" s="130">
        <f>IF(Calculations!K17&lt;=0,0,Calculations!K17)</f>
        <v>0</v>
      </c>
      <c r="I15" s="84" t="str">
        <f>D15</f>
        <v>g</v>
      </c>
      <c r="J15" s="23" t="s">
        <v>157</v>
      </c>
      <c r="K15" s="25">
        <f>IF(ISERROR(Calculations!L17),"",Calculations!L17)</f>
        <v>0</v>
      </c>
      <c r="L15" s="138" t="str">
        <f>Calculations!M17</f>
        <v>containers</v>
      </c>
      <c r="M15" s="23" t="s">
        <v>158</v>
      </c>
      <c r="N15" s="134">
        <f>'Fixed data'!E15</f>
        <v>250</v>
      </c>
      <c r="O15" s="136" t="str">
        <f>Calculations!O17</f>
        <v>g/container</v>
      </c>
      <c r="P15" s="22"/>
      <c r="Q15" s="22"/>
      <c r="R15" s="22"/>
      <c r="S15" s="22"/>
      <c r="T15" s="22"/>
      <c r="U15" s="1"/>
      <c r="V15" s="1"/>
      <c r="W15" s="1"/>
      <c r="X15" s="1"/>
    </row>
    <row r="16" spans="1:24" s="14" customFormat="1" ht="30" customHeight="1">
      <c r="A16" s="193" t="str">
        <f>CountryItems!A8</f>
        <v>Sulfuric acid, concentrated</v>
      </c>
      <c r="B16" s="46"/>
      <c r="C16" s="127">
        <v>100</v>
      </c>
      <c r="D16" s="190" t="str">
        <f>CountryItems!C8</f>
        <v>litre</v>
      </c>
      <c r="E16" s="127">
        <v>100</v>
      </c>
      <c r="F16" s="190" t="str">
        <f t="shared" si="1"/>
        <v>litre</v>
      </c>
      <c r="G16" s="126">
        <f>IF(ISERROR(Calculations!J18),"",Calculations!J18)</f>
        <v>171.42857142857142</v>
      </c>
      <c r="H16" s="131">
        <f>IF(Calculations!K18&lt;=0,0,Calculations!K18)</f>
        <v>0</v>
      </c>
      <c r="I16" s="84" t="str">
        <f t="shared" si="0"/>
        <v>litre</v>
      </c>
      <c r="J16" s="23" t="s">
        <v>157</v>
      </c>
      <c r="K16" s="25">
        <f>IF(ISERROR(Calculations!L18),"",Calculations!L18)</f>
        <v>0</v>
      </c>
      <c r="L16" s="138" t="str">
        <f>Calculations!M18</f>
        <v>bottles</v>
      </c>
      <c r="M16" s="23" t="s">
        <v>158</v>
      </c>
      <c r="N16" s="134">
        <f>'Fixed data'!E16</f>
        <v>2.5</v>
      </c>
      <c r="O16" s="136" t="str">
        <f>Calculations!O18</f>
        <v>litre/bottle</v>
      </c>
      <c r="P16" s="22"/>
      <c r="Q16" s="22"/>
      <c r="R16" s="22"/>
      <c r="S16" s="22"/>
      <c r="T16" s="22"/>
      <c r="U16" s="1"/>
      <c r="V16" s="1"/>
      <c r="W16" s="1"/>
      <c r="X16" s="1"/>
    </row>
    <row r="17" spans="1:24" s="14" customFormat="1" ht="30" customHeight="1">
      <c r="A17" s="194" t="str">
        <f>CountryItems!A9</f>
        <v>Hydrochloric acid, fuming (37%)</v>
      </c>
      <c r="B17" s="46"/>
      <c r="C17" s="127">
        <v>100</v>
      </c>
      <c r="D17" s="190" t="str">
        <f>CountryItems!C9</f>
        <v>litre</v>
      </c>
      <c r="E17" s="127">
        <v>100</v>
      </c>
      <c r="F17" s="190" t="str">
        <f t="shared" si="1"/>
        <v>litre</v>
      </c>
      <c r="G17" s="126">
        <f>IF(ISERROR(Calculations!J19),"",Calculations!J19)</f>
        <v>3428.571428571428</v>
      </c>
      <c r="H17" s="131">
        <f>IF(Calculations!K19&lt;=0,0,Calculations!K19)</f>
        <v>0</v>
      </c>
      <c r="I17" s="84" t="str">
        <f t="shared" si="0"/>
        <v>litre</v>
      </c>
      <c r="J17" s="23" t="s">
        <v>157</v>
      </c>
      <c r="K17" s="25">
        <f>IF(ISERROR(Calculations!L19),"",Calculations!L19)</f>
        <v>0</v>
      </c>
      <c r="L17" s="138" t="str">
        <f>Calculations!M19</f>
        <v>bottles</v>
      </c>
      <c r="M17" s="23" t="s">
        <v>158</v>
      </c>
      <c r="N17" s="134">
        <f>'Fixed data'!E17</f>
        <v>2.5</v>
      </c>
      <c r="O17" s="136" t="str">
        <f>Calculations!O19</f>
        <v>litre/bottle</v>
      </c>
      <c r="P17" s="22"/>
      <c r="Q17" s="22"/>
      <c r="R17" s="22"/>
      <c r="S17" s="22"/>
      <c r="T17" s="22"/>
      <c r="U17" s="1"/>
      <c r="V17" s="1"/>
      <c r="W17" s="1"/>
      <c r="X17" s="1"/>
    </row>
    <row r="18" spans="1:24" s="14" customFormat="1" ht="30" customHeight="1">
      <c r="A18" s="193" t="str">
        <f>CountryItems!A10</f>
        <v>Methylene blue powder</v>
      </c>
      <c r="B18" s="46"/>
      <c r="C18" s="127">
        <v>100</v>
      </c>
      <c r="D18" s="190" t="str">
        <f>CountryItems!C10</f>
        <v>g</v>
      </c>
      <c r="E18" s="127">
        <v>100</v>
      </c>
      <c r="F18" s="190" t="str">
        <f t="shared" si="1"/>
        <v>g</v>
      </c>
      <c r="G18" s="126">
        <f>IF(ISERROR(Calculations!J21),"",Calculations!J21)</f>
        <v>48</v>
      </c>
      <c r="H18" s="130">
        <f>IF(Calculations!K21&lt;=0,0,Calculations!K21)</f>
        <v>0</v>
      </c>
      <c r="I18" s="84" t="str">
        <f t="shared" si="0"/>
        <v>g</v>
      </c>
      <c r="J18" s="23" t="s">
        <v>157</v>
      </c>
      <c r="K18" s="25">
        <f>IF(ISERROR(Calculations!L21),"",Calculations!L21)</f>
        <v>0</v>
      </c>
      <c r="L18" s="138" t="str">
        <f>Calculations!M21</f>
        <v>containers</v>
      </c>
      <c r="M18" s="23" t="s">
        <v>158</v>
      </c>
      <c r="N18" s="134">
        <f>'Fixed data'!E19</f>
        <v>100</v>
      </c>
      <c r="O18" s="136" t="str">
        <f>Calculations!O21</f>
        <v>g/container</v>
      </c>
      <c r="P18" s="22"/>
      <c r="Q18" s="22"/>
      <c r="R18" s="22"/>
      <c r="S18" s="22"/>
      <c r="T18" s="22"/>
      <c r="U18" s="1"/>
      <c r="V18" s="1"/>
      <c r="W18" s="1"/>
      <c r="X18" s="1"/>
    </row>
    <row r="19" spans="1:24" s="14" customFormat="1" ht="30" customHeight="1">
      <c r="A19" s="193" t="str">
        <f>CountryItems!A11</f>
        <v>Ethanol 95% </v>
      </c>
      <c r="B19" s="46"/>
      <c r="C19" s="127">
        <v>100</v>
      </c>
      <c r="D19" s="190" t="str">
        <f>CountryItems!C11</f>
        <v>litre</v>
      </c>
      <c r="E19" s="127">
        <v>100</v>
      </c>
      <c r="F19" s="190" t="str">
        <f t="shared" si="1"/>
        <v>litre</v>
      </c>
      <c r="G19" s="126">
        <f>IF(ISERROR(Calculations!J23),"",Calculations!J23)</f>
        <v>40.67796610169491</v>
      </c>
      <c r="H19" s="131">
        <f>IF(Calculations!K23&lt;=0,0,Calculations!K23)</f>
        <v>0</v>
      </c>
      <c r="I19" s="84" t="str">
        <f t="shared" si="0"/>
        <v>litre</v>
      </c>
      <c r="J19" s="23" t="s">
        <v>157</v>
      </c>
      <c r="K19" s="25">
        <f>IF(ISERROR(Calculations!L23),"",Calculations!L23)</f>
        <v>0</v>
      </c>
      <c r="L19" s="138" t="str">
        <f>Calculations!M23</f>
        <v>bottles</v>
      </c>
      <c r="M19" s="23" t="s">
        <v>158</v>
      </c>
      <c r="N19" s="134">
        <f>'Fixed data'!E21</f>
        <v>2.5</v>
      </c>
      <c r="O19" s="136" t="str">
        <f>Calculations!O23</f>
        <v>litre/bottle</v>
      </c>
      <c r="P19" s="22"/>
      <c r="Q19" s="22"/>
      <c r="R19" s="22"/>
      <c r="S19" s="22"/>
      <c r="T19" s="22"/>
      <c r="U19" s="1"/>
      <c r="V19" s="1"/>
      <c r="W19" s="1"/>
      <c r="X19" s="1"/>
    </row>
    <row r="20" spans="1:24" s="14" customFormat="1" ht="30" customHeight="1">
      <c r="A20" s="193" t="str">
        <f>CountryItems!A12</f>
        <v>Other item calculated per smear</v>
      </c>
      <c r="B20" s="46"/>
      <c r="C20" s="127"/>
      <c r="D20" s="190">
        <f>CountryItems!C12</f>
        <v>0</v>
      </c>
      <c r="E20" s="127"/>
      <c r="F20" s="190">
        <f t="shared" si="1"/>
        <v>0</v>
      </c>
      <c r="G20" s="126">
        <f>IF(ISERROR(Calculations!J26),"",Calculations!J26)</f>
      </c>
      <c r="H20" s="130">
        <f>IF(Calculations!K26&lt;=0,0,Calculations!K26)</f>
        <v>0</v>
      </c>
      <c r="I20" s="84">
        <f>D20</f>
        <v>0</v>
      </c>
      <c r="J20" s="23" t="s">
        <v>157</v>
      </c>
      <c r="K20" s="25">
        <f>IF(ISERROR(Calculations!L26),"",Calculations!L26)</f>
      </c>
      <c r="L20" s="138" t="str">
        <f>Calculations!M26</f>
        <v>0s</v>
      </c>
      <c r="M20" s="23" t="s">
        <v>158</v>
      </c>
      <c r="N20" s="134">
        <f>'Fixed data'!E24</f>
        <v>0</v>
      </c>
      <c r="O20" s="136" t="str">
        <f>Calculations!O26</f>
        <v>0/0</v>
      </c>
      <c r="P20" s="22"/>
      <c r="Q20" s="22"/>
      <c r="R20" s="22"/>
      <c r="S20" s="22"/>
      <c r="T20" s="22"/>
      <c r="U20" s="1"/>
      <c r="V20" s="1"/>
      <c r="W20" s="1"/>
      <c r="X20" s="1"/>
    </row>
    <row r="21" spans="1:24" s="14" customFormat="1" ht="30" customHeight="1">
      <c r="A21" s="193" t="str">
        <f>CountryItems!A13</f>
        <v>Other item calculated per smear</v>
      </c>
      <c r="B21" s="46"/>
      <c r="C21" s="127"/>
      <c r="D21" s="190">
        <f>CountryItems!C13</f>
        <v>0</v>
      </c>
      <c r="E21" s="127"/>
      <c r="F21" s="190">
        <f t="shared" si="1"/>
        <v>0</v>
      </c>
      <c r="G21" s="126">
        <f>IF(ISERROR(Calculations!J27),"",Calculations!J27)</f>
      </c>
      <c r="H21" s="130">
        <f>IF(Calculations!K27&lt;=0,0,Calculations!K27)</f>
        <v>0</v>
      </c>
      <c r="I21" s="84">
        <f>D21</f>
        <v>0</v>
      </c>
      <c r="J21" s="23" t="s">
        <v>157</v>
      </c>
      <c r="K21" s="25">
        <f>IF(ISERROR(Calculations!L27),"",Calculations!L27)</f>
      </c>
      <c r="L21" s="138" t="str">
        <f>Calculations!M27</f>
        <v>0s</v>
      </c>
      <c r="M21" s="23" t="s">
        <v>158</v>
      </c>
      <c r="N21" s="134">
        <f>'Fixed data'!E25</f>
        <v>0</v>
      </c>
      <c r="O21" s="136" t="str">
        <f>Calculations!O27</f>
        <v>0/0</v>
      </c>
      <c r="P21" s="22"/>
      <c r="Q21" s="22"/>
      <c r="R21" s="22"/>
      <c r="S21" s="22"/>
      <c r="T21" s="22"/>
      <c r="U21" s="1"/>
      <c r="V21" s="1"/>
      <c r="W21" s="1"/>
      <c r="X21" s="1"/>
    </row>
    <row r="22" spans="1:24" s="14" customFormat="1" ht="30" customHeight="1">
      <c r="A22" s="193" t="str">
        <f>CountryItems!A14</f>
        <v>Burning spirit</v>
      </c>
      <c r="B22" s="46"/>
      <c r="C22" s="127">
        <v>100</v>
      </c>
      <c r="D22" s="190" t="str">
        <f>CountryItems!C14</f>
        <v>litre</v>
      </c>
      <c r="E22" s="127">
        <v>100</v>
      </c>
      <c r="F22" s="190" t="str">
        <f t="shared" si="1"/>
        <v>litre</v>
      </c>
      <c r="G22" s="126">
        <f>IF(ISERROR(Calculations!J28),"",Calculations!J28)</f>
        <v>120</v>
      </c>
      <c r="H22" s="131">
        <f>IF(Calculations!K28&lt;=0,0,Calculations!K28)</f>
        <v>0</v>
      </c>
      <c r="I22" s="84" t="str">
        <f t="shared" si="0"/>
        <v>litre</v>
      </c>
      <c r="J22" s="23" t="s">
        <v>157</v>
      </c>
      <c r="K22" s="25">
        <f>IF(ISERROR(Calculations!L28),"",Calculations!L28)</f>
        <v>0</v>
      </c>
      <c r="L22" s="138" t="str">
        <f>Calculations!M28</f>
        <v>bottles</v>
      </c>
      <c r="M22" s="23" t="s">
        <v>158</v>
      </c>
      <c r="N22" s="134">
        <f>'Fixed data'!E26</f>
        <v>2.5</v>
      </c>
      <c r="O22" s="136" t="str">
        <f>Calculations!O28</f>
        <v>litre/bottle</v>
      </c>
      <c r="P22" s="22"/>
      <c r="Q22" s="22"/>
      <c r="R22" s="22"/>
      <c r="S22" s="22"/>
      <c r="T22" s="22"/>
      <c r="U22" s="1"/>
      <c r="V22" s="1"/>
      <c r="W22" s="1"/>
      <c r="X22" s="1"/>
    </row>
    <row r="23" spans="1:24" s="14" customFormat="1" ht="30" customHeight="1">
      <c r="A23" s="193" t="str">
        <f>CountryItems!A15</f>
        <v>Immersion oil</v>
      </c>
      <c r="B23" s="46"/>
      <c r="C23" s="127">
        <v>100</v>
      </c>
      <c r="D23" s="190" t="str">
        <f>CountryItems!C15</f>
        <v>ml</v>
      </c>
      <c r="E23" s="127">
        <v>100</v>
      </c>
      <c r="F23" s="190" t="str">
        <f t="shared" si="1"/>
        <v>ml</v>
      </c>
      <c r="G23" s="126">
        <f>IF(ISERROR(Calculations!J29),"",Calculations!J29)</f>
        <v>2.4</v>
      </c>
      <c r="H23" s="130">
        <f>IF(Calculations!K29&lt;=0,0,Calculations!K29)</f>
        <v>2800.0000000000005</v>
      </c>
      <c r="I23" s="84" t="str">
        <f t="shared" si="0"/>
        <v>ml</v>
      </c>
      <c r="J23" s="23" t="s">
        <v>157</v>
      </c>
      <c r="K23" s="25">
        <f>IF(ISERROR(Calculations!L29),"",Calculations!L29)</f>
        <v>28.000000000000004</v>
      </c>
      <c r="L23" s="138" t="str">
        <f>Calculations!M29</f>
        <v>bottles</v>
      </c>
      <c r="M23" s="23" t="s">
        <v>158</v>
      </c>
      <c r="N23" s="134">
        <f>'Fixed data'!E27</f>
        <v>100</v>
      </c>
      <c r="O23" s="136" t="str">
        <f>Calculations!O29</f>
        <v>ml/bottle</v>
      </c>
      <c r="P23" s="22"/>
      <c r="Q23" s="22"/>
      <c r="R23" s="22"/>
      <c r="S23" s="22"/>
      <c r="T23" s="22"/>
      <c r="U23" s="1"/>
      <c r="V23" s="1"/>
      <c r="W23" s="1"/>
      <c r="X23" s="1"/>
    </row>
    <row r="24" spans="1:24" s="14" customFormat="1" ht="30" customHeight="1">
      <c r="A24" s="193" t="str">
        <f>CountryItems!A16</f>
        <v>Xylene</v>
      </c>
      <c r="B24" s="46"/>
      <c r="C24" s="127">
        <v>100</v>
      </c>
      <c r="D24" s="190" t="str">
        <f>CountryItems!C16</f>
        <v>litre</v>
      </c>
      <c r="E24" s="127">
        <v>100</v>
      </c>
      <c r="F24" s="190" t="str">
        <f t="shared" si="1"/>
        <v>litre</v>
      </c>
      <c r="G24" s="126">
        <f>IF(ISERROR(Calculations!J30),"",Calculations!J30)</f>
        <v>5999.999999999999</v>
      </c>
      <c r="H24" s="131">
        <f>IF(Calculations!K30&lt;=0,0,Calculations!K30)</f>
        <v>0</v>
      </c>
      <c r="I24" s="84" t="str">
        <f t="shared" si="0"/>
        <v>litre</v>
      </c>
      <c r="J24" s="23" t="s">
        <v>157</v>
      </c>
      <c r="K24" s="25">
        <f>IF(ISERROR(Calculations!L30),"",Calculations!L30)</f>
        <v>0</v>
      </c>
      <c r="L24" s="138" t="str">
        <f>Calculations!M30</f>
        <v>bottles</v>
      </c>
      <c r="M24" s="23" t="s">
        <v>158</v>
      </c>
      <c r="N24" s="134">
        <f>'Fixed data'!E28</f>
        <v>2.5</v>
      </c>
      <c r="O24" s="136" t="str">
        <f>Calculations!O30</f>
        <v>litre/bottle</v>
      </c>
      <c r="P24" s="22"/>
      <c r="Q24" s="22"/>
      <c r="R24" s="22"/>
      <c r="S24" s="22"/>
      <c r="T24" s="22"/>
      <c r="U24" s="1"/>
      <c r="V24" s="1"/>
      <c r="W24" s="1"/>
      <c r="X24" s="1"/>
    </row>
    <row r="25" spans="1:24" s="14" customFormat="1" ht="30" customHeight="1">
      <c r="A25" s="193" t="str">
        <f>CountryItems!A17</f>
        <v>Cottonwool</v>
      </c>
      <c r="B25" s="46"/>
      <c r="C25" s="127">
        <v>100</v>
      </c>
      <c r="D25" s="190" t="str">
        <f>CountryItems!C17</f>
        <v>g</v>
      </c>
      <c r="E25" s="127">
        <v>100</v>
      </c>
      <c r="F25" s="190" t="str">
        <f t="shared" si="1"/>
        <v>g</v>
      </c>
      <c r="G25" s="126">
        <f>IF(ISERROR(Calculations!J31),"",Calculations!J31)</f>
        <v>0.48</v>
      </c>
      <c r="H25" s="130">
        <f>IF(Calculations!K31&lt;=0,0,Calculations!K31)</f>
        <v>14800</v>
      </c>
      <c r="I25" s="84" t="str">
        <f t="shared" si="0"/>
        <v>g</v>
      </c>
      <c r="J25" s="23" t="s">
        <v>157</v>
      </c>
      <c r="K25" s="25">
        <f>IF(ISERROR(Calculations!L31),"",Calculations!L31)</f>
        <v>29.6</v>
      </c>
      <c r="L25" s="138" t="str">
        <f>Calculations!M31</f>
        <v>rolls</v>
      </c>
      <c r="M25" s="23" t="s">
        <v>158</v>
      </c>
      <c r="N25" s="134">
        <f>'Fixed data'!E29</f>
        <v>500</v>
      </c>
      <c r="O25" s="136" t="str">
        <f>Calculations!O31</f>
        <v>g/roll</v>
      </c>
      <c r="P25" s="22"/>
      <c r="Q25" s="22"/>
      <c r="R25" s="22"/>
      <c r="S25" s="22"/>
      <c r="T25" s="22"/>
      <c r="U25" s="1"/>
      <c r="V25" s="1"/>
      <c r="W25" s="1"/>
      <c r="X25" s="1"/>
    </row>
    <row r="26" spans="1:24" s="14" customFormat="1" ht="30" customHeight="1">
      <c r="A26" s="193" t="str">
        <f>CountryItems!A18</f>
        <v>Nichrome wire</v>
      </c>
      <c r="B26" s="46"/>
      <c r="C26" s="127">
        <v>100</v>
      </c>
      <c r="D26" s="190" t="str">
        <f>CountryItems!C18</f>
        <v>meter</v>
      </c>
      <c r="E26" s="127">
        <v>100</v>
      </c>
      <c r="F26" s="190" t="str">
        <f t="shared" si="1"/>
        <v>meter</v>
      </c>
      <c r="G26" s="126">
        <f>IF(ISERROR(Calculations!J32),"",Calculations!J32)</f>
        <v>240</v>
      </c>
      <c r="H26" s="131">
        <f>IF(Calculations!K32&lt;=0,0,Calculations!K32)</f>
        <v>0</v>
      </c>
      <c r="I26" s="84" t="str">
        <f t="shared" si="0"/>
        <v>meter</v>
      </c>
      <c r="J26" s="23" t="s">
        <v>157</v>
      </c>
      <c r="K26" s="25">
        <f>IF(ISERROR(Calculations!L32),"",Calculations!L32)</f>
        <v>0</v>
      </c>
      <c r="L26" s="138" t="str">
        <f>Calculations!M32</f>
        <v>rolls</v>
      </c>
      <c r="M26" s="23" t="s">
        <v>158</v>
      </c>
      <c r="N26" s="134">
        <f>'Fixed data'!E30</f>
        <v>10</v>
      </c>
      <c r="O26" s="136" t="str">
        <f>Calculations!O32</f>
        <v>meter/roll</v>
      </c>
      <c r="P26" s="22"/>
      <c r="Q26" s="22"/>
      <c r="R26" s="22"/>
      <c r="S26" s="22"/>
      <c r="T26" s="22"/>
      <c r="U26" s="1"/>
      <c r="V26" s="1"/>
      <c r="W26" s="1"/>
      <c r="X26" s="1"/>
    </row>
    <row r="27" spans="1:24" s="14" customFormat="1" ht="30" customHeight="1">
      <c r="A27" s="193" t="str">
        <f>CountryItems!A19</f>
        <v>Gloves M</v>
      </c>
      <c r="B27" s="46"/>
      <c r="C27" s="127">
        <v>100</v>
      </c>
      <c r="D27" s="190" t="str">
        <f>CountryItems!C19</f>
        <v>pair</v>
      </c>
      <c r="E27" s="127">
        <v>100</v>
      </c>
      <c r="F27" s="190" t="str">
        <f t="shared" si="1"/>
        <v>pair</v>
      </c>
      <c r="G27" s="126">
        <f>IF(ISERROR(Calculations!J33),"",Calculations!J33)</f>
        <v>2.4000000000000004</v>
      </c>
      <c r="H27" s="130">
        <f>IF(Calculations!K33&lt;=0,0,Calculations!K33)</f>
        <v>2800</v>
      </c>
      <c r="I27" s="84" t="str">
        <f t="shared" si="0"/>
        <v>pair</v>
      </c>
      <c r="J27" s="23" t="s">
        <v>157</v>
      </c>
      <c r="K27" s="25">
        <f>IF(ISERROR(Calculations!L33),"",Calculations!L33)</f>
        <v>28</v>
      </c>
      <c r="L27" s="138" t="str">
        <f>Calculations!M33</f>
        <v>boxs</v>
      </c>
      <c r="M27" s="23" t="s">
        <v>158</v>
      </c>
      <c r="N27" s="134">
        <f>'Fixed data'!E31</f>
        <v>100</v>
      </c>
      <c r="O27" s="136" t="str">
        <f>Calculations!O33</f>
        <v>pair/box</v>
      </c>
      <c r="P27" s="22"/>
      <c r="Q27" s="22"/>
      <c r="R27" s="22"/>
      <c r="S27" s="22"/>
      <c r="T27" s="22"/>
      <c r="U27" s="1"/>
      <c r="V27" s="1"/>
      <c r="W27" s="1"/>
      <c r="X27" s="1"/>
    </row>
    <row r="28" spans="1:24" s="14" customFormat="1" ht="30" customHeight="1">
      <c r="A28" s="193" t="str">
        <f>CountryItems!A20</f>
        <v>Loopholder</v>
      </c>
      <c r="B28" s="46"/>
      <c r="C28" s="127">
        <v>100</v>
      </c>
      <c r="D28" s="190" t="str">
        <f>CountryItems!C20</f>
        <v>pc</v>
      </c>
      <c r="E28" s="127">
        <v>100</v>
      </c>
      <c r="F28" s="190" t="str">
        <f t="shared" si="1"/>
        <v>pc</v>
      </c>
      <c r="G28" s="126">
        <f>IF(ISERROR(Calculations!J34),"",Calculations!J34)</f>
        <v>1200</v>
      </c>
      <c r="H28" s="130">
        <f>IF(Calculations!K34&lt;=0,0,Calculations!K34)</f>
        <v>0</v>
      </c>
      <c r="I28" s="84" t="str">
        <f t="shared" si="0"/>
        <v>pc</v>
      </c>
      <c r="J28" s="23" t="s">
        <v>157</v>
      </c>
      <c r="K28" s="25">
        <f>IF(ISERROR(Calculations!L34),"",Calculations!L34)</f>
        <v>0</v>
      </c>
      <c r="L28" s="138" t="str">
        <f>Calculations!M34</f>
        <v>packs</v>
      </c>
      <c r="M28" s="23" t="s">
        <v>158</v>
      </c>
      <c r="N28" s="134">
        <f>'Fixed data'!E32</f>
        <v>10</v>
      </c>
      <c r="O28" s="136" t="str">
        <f>Calculations!O34</f>
        <v>pc/pack</v>
      </c>
      <c r="P28" s="22"/>
      <c r="Q28" s="22"/>
      <c r="R28" s="22"/>
      <c r="S28" s="22"/>
      <c r="T28" s="22"/>
      <c r="U28" s="1"/>
      <c r="V28" s="1"/>
      <c r="W28" s="1"/>
      <c r="X28" s="1"/>
    </row>
    <row r="29" spans="1:24" s="14" customFormat="1" ht="30" customHeight="1">
      <c r="A29" s="193" t="str">
        <f>CountryItems!A21</f>
        <v>Timer</v>
      </c>
      <c r="B29" s="46"/>
      <c r="C29" s="127">
        <v>100</v>
      </c>
      <c r="D29" s="190" t="str">
        <f>CountryItems!C21</f>
        <v>pc</v>
      </c>
      <c r="E29" s="127">
        <v>100</v>
      </c>
      <c r="F29" s="190" t="str">
        <f t="shared" si="1"/>
        <v>pc</v>
      </c>
      <c r="G29" s="126">
        <f>IF(ISERROR(Calculations!J35),"",Calculations!J35)</f>
        <v>2400</v>
      </c>
      <c r="H29" s="130">
        <f>IF(Calculations!K35&lt;=0,0,Calculations!K35)</f>
        <v>0</v>
      </c>
      <c r="I29" s="84" t="str">
        <f t="shared" si="0"/>
        <v>pc</v>
      </c>
      <c r="J29" s="23" t="s">
        <v>157</v>
      </c>
      <c r="K29" s="25">
        <f>IF(ISERROR(Calculations!L35),"",Calculations!L35)</f>
        <v>0</v>
      </c>
      <c r="L29" s="138" t="str">
        <f>Calculations!M35</f>
        <v>packs</v>
      </c>
      <c r="M29" s="23" t="s">
        <v>158</v>
      </c>
      <c r="N29" s="134">
        <f>'Fixed data'!E33</f>
        <v>10</v>
      </c>
      <c r="O29" s="136" t="str">
        <f>Calculations!O35</f>
        <v>pc/pack</v>
      </c>
      <c r="P29" s="22"/>
      <c r="Q29" s="22"/>
      <c r="R29" s="22"/>
      <c r="S29" s="22"/>
      <c r="T29" s="22"/>
      <c r="U29" s="1"/>
      <c r="V29" s="1"/>
      <c r="W29" s="1"/>
      <c r="X29" s="1"/>
    </row>
    <row r="30" spans="1:24" s="14" customFormat="1" ht="30" customHeight="1">
      <c r="A30" s="193" t="str">
        <f>CountryItems!A22</f>
        <v>Slide forceps</v>
      </c>
      <c r="B30" s="46"/>
      <c r="C30" s="127">
        <v>100</v>
      </c>
      <c r="D30" s="190" t="str">
        <f>CountryItems!C22</f>
        <v>pc</v>
      </c>
      <c r="E30" s="127">
        <v>100</v>
      </c>
      <c r="F30" s="190" t="str">
        <f t="shared" si="1"/>
        <v>pc</v>
      </c>
      <c r="G30" s="126">
        <f>IF(ISERROR(Calculations!J36),"",Calculations!J36)</f>
        <v>2400</v>
      </c>
      <c r="H30" s="130">
        <f>IF(Calculations!K36&lt;=0,0,Calculations!K36)</f>
        <v>0</v>
      </c>
      <c r="I30" s="84" t="str">
        <f t="shared" si="0"/>
        <v>pc</v>
      </c>
      <c r="J30" s="23" t="s">
        <v>157</v>
      </c>
      <c r="K30" s="25">
        <f>IF(ISERROR(Calculations!L36),"",Calculations!L36)</f>
        <v>0</v>
      </c>
      <c r="L30" s="138" t="str">
        <f>Calculations!M36</f>
        <v>packs</v>
      </c>
      <c r="M30" s="23" t="s">
        <v>158</v>
      </c>
      <c r="N30" s="134">
        <f>'Fixed data'!E34</f>
        <v>10</v>
      </c>
      <c r="O30" s="136" t="str">
        <f>Calculations!O36</f>
        <v>pc/pack</v>
      </c>
      <c r="P30" s="22"/>
      <c r="Q30" s="22"/>
      <c r="R30" s="22"/>
      <c r="S30" s="22"/>
      <c r="T30" s="22"/>
      <c r="U30" s="1"/>
      <c r="V30" s="1"/>
      <c r="W30" s="1"/>
      <c r="X30" s="1"/>
    </row>
    <row r="31" spans="1:24" s="14" customFormat="1" ht="30" customHeight="1">
      <c r="A31" s="193" t="str">
        <f>CountryItems!A23</f>
        <v>Marker</v>
      </c>
      <c r="B31" s="46"/>
      <c r="C31" s="127">
        <v>100</v>
      </c>
      <c r="D31" s="190" t="str">
        <f>CountryItems!C23</f>
        <v>pc</v>
      </c>
      <c r="E31" s="127">
        <v>100</v>
      </c>
      <c r="F31" s="190" t="str">
        <f t="shared" si="1"/>
        <v>pc</v>
      </c>
      <c r="G31" s="126">
        <f>IF(ISERROR(Calculations!J37),"",Calculations!J37)</f>
        <v>60</v>
      </c>
      <c r="H31" s="130">
        <f>IF(Calculations!K37&lt;=0,0,Calculations!K37)</f>
        <v>0</v>
      </c>
      <c r="I31" s="84" t="str">
        <f t="shared" si="0"/>
        <v>pc</v>
      </c>
      <c r="J31" s="23" t="s">
        <v>157</v>
      </c>
      <c r="K31" s="25">
        <f>IF(ISERROR(Calculations!L37),"",Calculations!L37)</f>
        <v>0</v>
      </c>
      <c r="L31" s="138" t="str">
        <f>Calculations!M37</f>
        <v>boxes</v>
      </c>
      <c r="M31" s="23" t="s">
        <v>158</v>
      </c>
      <c r="N31" s="134">
        <f>'Fixed data'!E35</f>
        <v>10</v>
      </c>
      <c r="O31" s="136" t="str">
        <f>Calculations!O37</f>
        <v>pc/box</v>
      </c>
      <c r="P31" s="22"/>
      <c r="Q31" s="22"/>
      <c r="R31" s="22"/>
      <c r="S31" s="22"/>
      <c r="T31" s="22"/>
      <c r="U31" s="1"/>
      <c r="V31" s="1"/>
      <c r="W31" s="1"/>
      <c r="X31" s="1"/>
    </row>
    <row r="32" spans="1:24" s="14" customFormat="1" ht="30" customHeight="1">
      <c r="A32" s="193" t="str">
        <f>CountryItems!A24</f>
        <v>Spiritlamp</v>
      </c>
      <c r="B32" s="46"/>
      <c r="C32" s="127">
        <v>100</v>
      </c>
      <c r="D32" s="190" t="str">
        <f>CountryItems!C24</f>
        <v>pc</v>
      </c>
      <c r="E32" s="127">
        <v>100</v>
      </c>
      <c r="F32" s="190" t="str">
        <f t="shared" si="1"/>
        <v>pc</v>
      </c>
      <c r="G32" s="126">
        <f>IF(ISERROR(Calculations!J38),"",Calculations!J38)</f>
        <v>1200</v>
      </c>
      <c r="H32" s="130">
        <f>IF(Calculations!K38&lt;=0,0,Calculations!K38)</f>
        <v>0</v>
      </c>
      <c r="I32" s="84" t="str">
        <f t="shared" si="0"/>
        <v>pc</v>
      </c>
      <c r="J32" s="23" t="s">
        <v>157</v>
      </c>
      <c r="K32" s="25">
        <f>IF(ISERROR(Calculations!L38),"",Calculations!L38)</f>
        <v>0</v>
      </c>
      <c r="L32" s="138" t="str">
        <f>Calculations!M38</f>
        <v>pcs</v>
      </c>
      <c r="M32" s="23" t="s">
        <v>158</v>
      </c>
      <c r="N32" s="134">
        <f>'Fixed data'!E36</f>
        <v>1</v>
      </c>
      <c r="O32" s="136" t="str">
        <f>Calculations!O38</f>
        <v>pc/pc</v>
      </c>
      <c r="P32" s="22"/>
      <c r="Q32" s="22"/>
      <c r="R32" s="22"/>
      <c r="S32" s="22"/>
      <c r="T32" s="22"/>
      <c r="U32" s="1"/>
      <c r="V32" s="1"/>
      <c r="W32" s="1"/>
      <c r="X32" s="1"/>
    </row>
    <row r="33" spans="1:24" s="14" customFormat="1" ht="30" customHeight="1">
      <c r="A33" s="193" t="str">
        <f>CountryItems!A25</f>
        <v>Diamond pencil</v>
      </c>
      <c r="B33" s="46"/>
      <c r="C33" s="127">
        <v>100</v>
      </c>
      <c r="D33" s="190" t="str">
        <f>CountryItems!C25</f>
        <v>pc</v>
      </c>
      <c r="E33" s="127">
        <v>100</v>
      </c>
      <c r="F33" s="190" t="str">
        <f t="shared" si="1"/>
        <v>pc</v>
      </c>
      <c r="G33" s="126">
        <f>IF(ISERROR(Calculations!J39),"",Calculations!J39)</f>
        <v>2400</v>
      </c>
      <c r="H33" s="130">
        <f>IF(Calculations!K39&lt;=0,0,Calculations!K39)</f>
        <v>0</v>
      </c>
      <c r="I33" s="84" t="str">
        <f t="shared" si="0"/>
        <v>pc</v>
      </c>
      <c r="J33" s="23" t="s">
        <v>157</v>
      </c>
      <c r="K33" s="25">
        <f>IF(ISERROR(Calculations!L39),"",Calculations!L39)</f>
        <v>0</v>
      </c>
      <c r="L33" s="138" t="str">
        <f>Calculations!M39</f>
        <v>packs</v>
      </c>
      <c r="M33" s="23" t="s">
        <v>158</v>
      </c>
      <c r="N33" s="134">
        <f>'Fixed data'!E37</f>
        <v>10</v>
      </c>
      <c r="O33" s="136" t="str">
        <f>Calculations!O39</f>
        <v>pc/pack</v>
      </c>
      <c r="P33" s="22"/>
      <c r="Q33" s="22"/>
      <c r="R33" s="22"/>
      <c r="S33" s="22"/>
      <c r="T33" s="22"/>
      <c r="U33" s="1"/>
      <c r="V33" s="1"/>
      <c r="W33" s="1"/>
      <c r="X33" s="1"/>
    </row>
    <row r="34" spans="1:24" s="14" customFormat="1" ht="30" customHeight="1">
      <c r="A34" s="193" t="str">
        <f>CountryItems!A26</f>
        <v>Spare bulb</v>
      </c>
      <c r="B34" s="46"/>
      <c r="C34" s="127">
        <v>100</v>
      </c>
      <c r="D34" s="190" t="str">
        <f>CountryItems!C26</f>
        <v>pc</v>
      </c>
      <c r="E34" s="127">
        <v>100</v>
      </c>
      <c r="F34" s="190" t="str">
        <f t="shared" si="1"/>
        <v>pc</v>
      </c>
      <c r="G34" s="126">
        <f>IF(ISERROR(Calculations!J40),"",Calculations!J40)</f>
        <v>480</v>
      </c>
      <c r="H34" s="130">
        <f>IF(Calculations!K40&lt;=0,0,Calculations!K40)</f>
        <v>0</v>
      </c>
      <c r="I34" s="84" t="str">
        <f t="shared" si="0"/>
        <v>pc</v>
      </c>
      <c r="J34" s="23" t="s">
        <v>157</v>
      </c>
      <c r="K34" s="25">
        <f>IF(ISERROR(Calculations!L40),"",Calculations!L40)</f>
        <v>0</v>
      </c>
      <c r="L34" s="138" t="str">
        <f>Calculations!M40</f>
        <v>pcs</v>
      </c>
      <c r="M34" s="23" t="s">
        <v>158</v>
      </c>
      <c r="N34" s="134">
        <f>'Fixed data'!E38</f>
        <v>1</v>
      </c>
      <c r="O34" s="136" t="str">
        <f>Calculations!O40</f>
        <v>pc/pc</v>
      </c>
      <c r="P34" s="22"/>
      <c r="Q34" s="22"/>
      <c r="R34" s="22"/>
      <c r="S34" s="22"/>
      <c r="T34" s="22"/>
      <c r="U34" s="1"/>
      <c r="V34" s="1"/>
      <c r="W34" s="1"/>
      <c r="X34" s="1"/>
    </row>
    <row r="35" spans="1:24" s="14" customFormat="1" ht="30" customHeight="1">
      <c r="A35" s="193" t="str">
        <f>CountryItems!A27</f>
        <v>Spare mirror</v>
      </c>
      <c r="B35" s="46"/>
      <c r="C35" s="127">
        <v>100</v>
      </c>
      <c r="D35" s="190" t="str">
        <f>CountryItems!C27</f>
        <v>pc</v>
      </c>
      <c r="E35" s="127">
        <v>100</v>
      </c>
      <c r="F35" s="190" t="str">
        <f t="shared" si="1"/>
        <v>pc</v>
      </c>
      <c r="G35" s="126">
        <f>IF(ISERROR(Calculations!J41),"",Calculations!J41)</f>
        <v>2400</v>
      </c>
      <c r="H35" s="130">
        <f>IF(Calculations!K41&lt;=0,0,Calculations!K41)</f>
        <v>0</v>
      </c>
      <c r="I35" s="84" t="str">
        <f aca="true" t="shared" si="2" ref="I35:I41">D35</f>
        <v>pc</v>
      </c>
      <c r="J35" s="23" t="s">
        <v>157</v>
      </c>
      <c r="K35" s="25">
        <f>IF(ISERROR(Calculations!L41),"",Calculations!L41)</f>
        <v>0</v>
      </c>
      <c r="L35" s="138" t="str">
        <f>Calculations!M41</f>
        <v>pcs</v>
      </c>
      <c r="M35" s="23" t="s">
        <v>158</v>
      </c>
      <c r="N35" s="134">
        <f>'Fixed data'!E39</f>
        <v>1</v>
      </c>
      <c r="O35" s="136" t="str">
        <f>Calculations!O41</f>
        <v>pc/pc</v>
      </c>
      <c r="P35" s="22"/>
      <c r="Q35" s="22"/>
      <c r="R35" s="22"/>
      <c r="S35" s="22"/>
      <c r="T35" s="22"/>
      <c r="U35" s="1"/>
      <c r="V35" s="1"/>
      <c r="W35" s="1"/>
      <c r="X35" s="1"/>
    </row>
    <row r="36" spans="1:24" s="14" customFormat="1" ht="30" customHeight="1">
      <c r="A36" s="193" t="str">
        <f>CountryItems!A28</f>
        <v>Spare objective</v>
      </c>
      <c r="B36" s="46"/>
      <c r="C36" s="127">
        <v>100</v>
      </c>
      <c r="D36" s="190" t="str">
        <f>CountryItems!C28</f>
        <v>pc</v>
      </c>
      <c r="E36" s="127">
        <v>100</v>
      </c>
      <c r="F36" s="190" t="str">
        <f t="shared" si="1"/>
        <v>pc</v>
      </c>
      <c r="G36" s="126">
        <f>IF(ISERROR(Calculations!J42),"",Calculations!J42)</f>
        <v>2400</v>
      </c>
      <c r="H36" s="130">
        <f>IF(Calculations!K42&lt;=0,0,Calculations!K42)</f>
        <v>0</v>
      </c>
      <c r="I36" s="84" t="str">
        <f t="shared" si="2"/>
        <v>pc</v>
      </c>
      <c r="J36" s="23" t="s">
        <v>157</v>
      </c>
      <c r="K36" s="25">
        <f>IF(ISERROR(Calculations!L42),"",Calculations!L42)</f>
        <v>0</v>
      </c>
      <c r="L36" s="138" t="str">
        <f>Calculations!M42</f>
        <v>pcs</v>
      </c>
      <c r="M36" s="23" t="s">
        <v>158</v>
      </c>
      <c r="N36" s="134">
        <f>'Fixed data'!E40</f>
        <v>1</v>
      </c>
      <c r="O36" s="136" t="str">
        <f>Calculations!O42</f>
        <v>pc/pc</v>
      </c>
      <c r="P36" s="22"/>
      <c r="Q36" s="22"/>
      <c r="R36" s="22"/>
      <c r="S36" s="22"/>
      <c r="T36" s="22"/>
      <c r="U36" s="1"/>
      <c r="V36" s="1"/>
      <c r="W36" s="1"/>
      <c r="X36" s="1"/>
    </row>
    <row r="37" spans="1:24" s="14" customFormat="1" ht="30" customHeight="1">
      <c r="A37" s="193" t="str">
        <f>CountryItems!A29</f>
        <v>Spare eyepiece</v>
      </c>
      <c r="B37" s="46"/>
      <c r="C37" s="127">
        <v>100</v>
      </c>
      <c r="D37" s="190" t="str">
        <f>CountryItems!C29</f>
        <v>pc</v>
      </c>
      <c r="E37" s="127">
        <v>100</v>
      </c>
      <c r="F37" s="190" t="str">
        <f t="shared" si="1"/>
        <v>pc</v>
      </c>
      <c r="G37" s="126">
        <f>IF(ISERROR(Calculations!J43),"",Calculations!J43)</f>
        <v>2400</v>
      </c>
      <c r="H37" s="130">
        <f>IF(Calculations!K43&lt;=0,0,Calculations!K43)</f>
        <v>0</v>
      </c>
      <c r="I37" s="84" t="str">
        <f t="shared" si="2"/>
        <v>pc</v>
      </c>
      <c r="J37" s="23" t="s">
        <v>157</v>
      </c>
      <c r="K37" s="25">
        <f>IF(ISERROR(Calculations!L43),"",Calculations!L43)</f>
        <v>0</v>
      </c>
      <c r="L37" s="138" t="str">
        <f>Calculations!M43</f>
        <v>pcs</v>
      </c>
      <c r="M37" s="23" t="s">
        <v>158</v>
      </c>
      <c r="N37" s="134">
        <f>'Fixed data'!E41</f>
        <v>1</v>
      </c>
      <c r="O37" s="136" t="str">
        <f>Calculations!O43</f>
        <v>pc/pc</v>
      </c>
      <c r="P37" s="22"/>
      <c r="Q37" s="22"/>
      <c r="R37" s="22"/>
      <c r="S37" s="22"/>
      <c r="T37" s="22"/>
      <c r="U37" s="1"/>
      <c r="V37" s="1"/>
      <c r="W37" s="1"/>
      <c r="X37" s="1"/>
    </row>
    <row r="38" spans="1:24" s="14" customFormat="1" ht="30" customHeight="1">
      <c r="A38" s="193" t="str">
        <f>CountryItems!A30</f>
        <v>Slidebox</v>
      </c>
      <c r="B38" s="46"/>
      <c r="C38" s="127">
        <v>100</v>
      </c>
      <c r="D38" s="190" t="str">
        <f>CountryItems!C30</f>
        <v>pc</v>
      </c>
      <c r="E38" s="127">
        <v>100</v>
      </c>
      <c r="F38" s="190" t="str">
        <f t="shared" si="1"/>
        <v>pc</v>
      </c>
      <c r="G38" s="126">
        <f>IF(ISERROR(Calculations!J44),"",Calculations!J44)</f>
        <v>800</v>
      </c>
      <c r="H38" s="130">
        <f>IF(Calculations!K44&lt;=0,0,Calculations!K44)</f>
        <v>0</v>
      </c>
      <c r="I38" s="84" t="str">
        <f t="shared" si="2"/>
        <v>pc</v>
      </c>
      <c r="J38" s="23" t="s">
        <v>157</v>
      </c>
      <c r="K38" s="25">
        <f>IF(ISERROR(Calculations!L44),"",Calculations!L44)</f>
        <v>0</v>
      </c>
      <c r="L38" s="138" t="str">
        <f>Calculations!M44</f>
        <v>pcs</v>
      </c>
      <c r="M38" s="23" t="s">
        <v>158</v>
      </c>
      <c r="N38" s="134">
        <f>'Fixed data'!E42</f>
        <v>1</v>
      </c>
      <c r="O38" s="136" t="str">
        <f>Calculations!O44</f>
        <v>pc/pc</v>
      </c>
      <c r="P38" s="22"/>
      <c r="Q38" s="22"/>
      <c r="R38" s="22"/>
      <c r="S38" s="22"/>
      <c r="T38" s="22"/>
      <c r="U38" s="1"/>
      <c r="V38" s="1"/>
      <c r="W38" s="1"/>
      <c r="X38" s="1"/>
    </row>
    <row r="39" spans="1:24" s="14" customFormat="1" ht="30" customHeight="1">
      <c r="A39" s="193" t="str">
        <f>CountryItems!A31</f>
        <v>Filter paper circular</v>
      </c>
      <c r="B39" s="46"/>
      <c r="C39" s="127">
        <v>100</v>
      </c>
      <c r="D39" s="190" t="str">
        <f>CountryItems!C31</f>
        <v>pc</v>
      </c>
      <c r="E39" s="127">
        <v>100</v>
      </c>
      <c r="F39" s="190" t="str">
        <f t="shared" si="1"/>
        <v>pc</v>
      </c>
      <c r="G39" s="126">
        <f>IF(ISERROR(Calculations!J45),"",Calculations!J45)</f>
        <v>4.800000000000001</v>
      </c>
      <c r="H39" s="130">
        <f>IF(Calculations!K45&lt;=0,0,Calculations!K45)</f>
        <v>1300</v>
      </c>
      <c r="I39" s="84" t="str">
        <f t="shared" si="2"/>
        <v>pc</v>
      </c>
      <c r="J39" s="23" t="s">
        <v>157</v>
      </c>
      <c r="K39" s="25">
        <f>IF(ISERROR(Calculations!L45),"",Calculations!L45)</f>
        <v>13</v>
      </c>
      <c r="L39" s="138" t="str">
        <f>Calculations!M45</f>
        <v>boxs</v>
      </c>
      <c r="M39" s="23" t="s">
        <v>158</v>
      </c>
      <c r="N39" s="134">
        <f>'Fixed data'!E43</f>
        <v>100</v>
      </c>
      <c r="O39" s="136" t="str">
        <f>Calculations!O45</f>
        <v>pc/box</v>
      </c>
      <c r="P39" s="22"/>
      <c r="Q39" s="22"/>
      <c r="R39" s="22"/>
      <c r="S39" s="22"/>
      <c r="T39" s="22"/>
      <c r="U39" s="1"/>
      <c r="V39" s="1"/>
      <c r="W39" s="1"/>
      <c r="X39" s="1"/>
    </row>
    <row r="40" spans="1:24" s="14" customFormat="1" ht="30" customHeight="1">
      <c r="A40" s="193" t="str">
        <f>CountryItems!A32</f>
        <v>Staining bottle</v>
      </c>
      <c r="B40" s="180"/>
      <c r="C40" s="127">
        <v>100</v>
      </c>
      <c r="D40" s="190" t="str">
        <f>CountryItems!C32</f>
        <v>pc</v>
      </c>
      <c r="E40" s="127">
        <v>100</v>
      </c>
      <c r="F40" s="190" t="str">
        <f t="shared" si="1"/>
        <v>pc</v>
      </c>
      <c r="G40" s="126">
        <f>IF(ISERROR(Calculations!J46),"",Calculations!J46)</f>
        <v>800</v>
      </c>
      <c r="H40" s="130">
        <f>IF(Calculations!K46&lt;=0,0,Calculations!K46)</f>
        <v>0</v>
      </c>
      <c r="I40" s="84" t="str">
        <f t="shared" si="2"/>
        <v>pc</v>
      </c>
      <c r="J40" s="23" t="s">
        <v>157</v>
      </c>
      <c r="K40" s="25">
        <f>IF(ISERROR(Calculations!L46),"",Calculations!L46)</f>
        <v>0</v>
      </c>
      <c r="L40" s="138" t="str">
        <f>Calculations!M46</f>
        <v>packs</v>
      </c>
      <c r="M40" s="23" t="s">
        <v>158</v>
      </c>
      <c r="N40" s="134">
        <f>'Fixed data'!E44</f>
        <v>10</v>
      </c>
      <c r="O40" s="136" t="str">
        <f>Calculations!O46</f>
        <v>pc/pack</v>
      </c>
      <c r="P40" s="22"/>
      <c r="Q40" s="22"/>
      <c r="R40" s="22"/>
      <c r="S40" s="22"/>
      <c r="T40" s="22"/>
      <c r="U40" s="1"/>
      <c r="V40" s="1"/>
      <c r="W40" s="1"/>
      <c r="X40" s="1"/>
    </row>
    <row r="41" spans="1:24" s="14" customFormat="1" ht="30" customHeight="1">
      <c r="A41" s="193" t="str">
        <f>CountryItems!A33</f>
        <v>Beaker</v>
      </c>
      <c r="B41" s="180"/>
      <c r="C41" s="127">
        <v>100</v>
      </c>
      <c r="D41" s="190" t="str">
        <f>CountryItems!C33</f>
        <v>pc</v>
      </c>
      <c r="E41" s="127">
        <v>100</v>
      </c>
      <c r="F41" s="190" t="str">
        <f t="shared" si="1"/>
        <v>pc</v>
      </c>
      <c r="G41" s="126">
        <f>IF(ISERROR(Calculations!J47),"",Calculations!J47)</f>
        <v>800</v>
      </c>
      <c r="H41" s="130">
        <f>IF(Calculations!K47&lt;=0,0,Calculations!K47)</f>
        <v>0</v>
      </c>
      <c r="I41" s="84" t="str">
        <f t="shared" si="2"/>
        <v>pc</v>
      </c>
      <c r="J41" s="23" t="s">
        <v>157</v>
      </c>
      <c r="K41" s="25">
        <f>IF(ISERROR(Calculations!L47),"",Calculations!L47)</f>
        <v>0</v>
      </c>
      <c r="L41" s="138" t="str">
        <f>Calculations!M47</f>
        <v>packs</v>
      </c>
      <c r="M41" s="23" t="s">
        <v>158</v>
      </c>
      <c r="N41" s="134">
        <f>'Fixed data'!E45</f>
        <v>10</v>
      </c>
      <c r="O41" s="136" t="str">
        <f>Calculations!O47</f>
        <v>pc/pack</v>
      </c>
      <c r="P41" s="22"/>
      <c r="Q41" s="22"/>
      <c r="R41" s="22"/>
      <c r="S41" s="22"/>
      <c r="T41" s="22"/>
      <c r="U41" s="1"/>
      <c r="V41" s="1"/>
      <c r="W41" s="1"/>
      <c r="X41" s="1"/>
    </row>
    <row r="42" spans="1:24" s="14" customFormat="1" ht="30" customHeight="1">
      <c r="A42" s="193" t="str">
        <f>CountryItems!A34</f>
        <v>Dropper bottle</v>
      </c>
      <c r="B42" s="180"/>
      <c r="C42" s="127">
        <v>100</v>
      </c>
      <c r="D42" s="190" t="str">
        <f>CountryItems!C34</f>
        <v>pc</v>
      </c>
      <c r="E42" s="127">
        <v>100</v>
      </c>
      <c r="F42" s="190" t="str">
        <f t="shared" si="1"/>
        <v>pc</v>
      </c>
      <c r="G42" s="126">
        <f>IF(ISERROR(Calculations!J48),"",Calculations!J48)</f>
        <v>1200</v>
      </c>
      <c r="H42" s="130">
        <f>IF(Calculations!K48&lt;=0,0,Calculations!K48)</f>
        <v>0</v>
      </c>
      <c r="I42" s="84" t="str">
        <f aca="true" t="shared" si="3" ref="I42:I48">D42</f>
        <v>pc</v>
      </c>
      <c r="J42" s="23" t="s">
        <v>157</v>
      </c>
      <c r="K42" s="25">
        <f>IF(ISERROR(Calculations!L48),"",Calculations!L48)</f>
        <v>0</v>
      </c>
      <c r="L42" s="138" t="str">
        <f>Calculations!M48</f>
        <v>packs</v>
      </c>
      <c r="M42" s="23" t="s">
        <v>158</v>
      </c>
      <c r="N42" s="134">
        <f>'Fixed data'!E46</f>
        <v>10</v>
      </c>
      <c r="O42" s="136" t="str">
        <f>Calculations!O48</f>
        <v>pc/pack</v>
      </c>
      <c r="P42" s="22"/>
      <c r="Q42" s="22"/>
      <c r="R42" s="22"/>
      <c r="S42" s="22"/>
      <c r="T42" s="22"/>
      <c r="U42" s="1"/>
      <c r="V42" s="1"/>
      <c r="W42" s="1"/>
      <c r="X42" s="1"/>
    </row>
    <row r="43" spans="1:24" s="14" customFormat="1" ht="30" customHeight="1">
      <c r="A43" s="193" t="str">
        <f>CountryItems!A35</f>
        <v>Stock bottle</v>
      </c>
      <c r="B43" s="180"/>
      <c r="C43" s="127">
        <v>100</v>
      </c>
      <c r="D43" s="190" t="str">
        <f>CountryItems!C35</f>
        <v>pc</v>
      </c>
      <c r="E43" s="127">
        <v>100</v>
      </c>
      <c r="F43" s="190" t="str">
        <f t="shared" si="1"/>
        <v>pc</v>
      </c>
      <c r="G43" s="126">
        <f>IF(ISERROR(Calculations!J49),"",Calculations!J49)</f>
        <v>800</v>
      </c>
      <c r="H43" s="130">
        <f>IF(Calculations!K49&lt;=0,0,Calculations!K49)</f>
        <v>0</v>
      </c>
      <c r="I43" s="84" t="str">
        <f t="shared" si="3"/>
        <v>pc</v>
      </c>
      <c r="J43" s="23" t="s">
        <v>157</v>
      </c>
      <c r="K43" s="25">
        <f>IF(ISERROR(Calculations!L49),"",Calculations!L49)</f>
        <v>0</v>
      </c>
      <c r="L43" s="138" t="str">
        <f>Calculations!M49</f>
        <v>cartons</v>
      </c>
      <c r="M43" s="23" t="s">
        <v>158</v>
      </c>
      <c r="N43" s="134">
        <f>'Fixed data'!E47</f>
        <v>10</v>
      </c>
      <c r="O43" s="136" t="str">
        <f>Calculations!O49</f>
        <v>pc/carton</v>
      </c>
      <c r="P43" s="22"/>
      <c r="Q43" s="22"/>
      <c r="R43" s="22"/>
      <c r="S43" s="22"/>
      <c r="T43" s="22"/>
      <c r="U43" s="1"/>
      <c r="V43" s="1"/>
      <c r="W43" s="1"/>
      <c r="X43" s="1"/>
    </row>
    <row r="44" spans="1:24" s="14" customFormat="1" ht="30" customHeight="1">
      <c r="A44" s="193" t="str">
        <f>CountryItems!A36</f>
        <v>Solutions transport container</v>
      </c>
      <c r="B44" s="180"/>
      <c r="C44" s="127">
        <v>100</v>
      </c>
      <c r="D44" s="190" t="str">
        <f>CountryItems!C36</f>
        <v>pc</v>
      </c>
      <c r="E44" s="127">
        <v>100</v>
      </c>
      <c r="F44" s="190" t="str">
        <f t="shared" si="1"/>
        <v>pc</v>
      </c>
      <c r="G44" s="126">
        <f>IF(ISERROR(Calculations!J50),"",Calculations!J50)</f>
        <v>1200</v>
      </c>
      <c r="H44" s="130">
        <f>IF(Calculations!K50&lt;=0,0,Calculations!K50)</f>
        <v>0</v>
      </c>
      <c r="I44" s="84" t="str">
        <f t="shared" si="3"/>
        <v>pc</v>
      </c>
      <c r="J44" s="23" t="s">
        <v>157</v>
      </c>
      <c r="K44" s="25">
        <f>IF(ISERROR(Calculations!L50),"",Calculations!L50)</f>
        <v>0</v>
      </c>
      <c r="L44" s="138" t="str">
        <f>Calculations!M50</f>
        <v>pcs</v>
      </c>
      <c r="M44" s="23" t="s">
        <v>158</v>
      </c>
      <c r="N44" s="134">
        <f>'Fixed data'!E48</f>
        <v>1</v>
      </c>
      <c r="O44" s="136" t="str">
        <f>Calculations!O50</f>
        <v>pc/pc</v>
      </c>
      <c r="P44" s="22"/>
      <c r="Q44" s="22"/>
      <c r="R44" s="22"/>
      <c r="S44" s="22"/>
      <c r="T44" s="22"/>
      <c r="U44" s="1"/>
      <c r="V44" s="1"/>
      <c r="W44" s="1"/>
      <c r="X44" s="1"/>
    </row>
    <row r="45" spans="1:24" s="14" customFormat="1" ht="30" customHeight="1">
      <c r="A45" s="193" t="str">
        <f>CountryItems!A37</f>
        <v>Staining rack</v>
      </c>
      <c r="B45" s="46"/>
      <c r="C45" s="127">
        <v>100</v>
      </c>
      <c r="D45" s="190" t="str">
        <f>CountryItems!C37</f>
        <v>pc</v>
      </c>
      <c r="E45" s="127">
        <v>100</v>
      </c>
      <c r="F45" s="190" t="str">
        <f t="shared" si="1"/>
        <v>pc</v>
      </c>
      <c r="G45" s="126">
        <f>IF(ISERROR(Calculations!J51),"",Calculations!J51)</f>
        <v>2400</v>
      </c>
      <c r="H45" s="130">
        <f>IF(Calculations!K51&lt;=0,0,Calculations!K51)</f>
        <v>0</v>
      </c>
      <c r="I45" s="84" t="str">
        <f t="shared" si="3"/>
        <v>pc</v>
      </c>
      <c r="J45" s="23" t="s">
        <v>157</v>
      </c>
      <c r="K45" s="25">
        <f>IF(ISERROR(Calculations!L51),"",Calculations!L51)</f>
        <v>0</v>
      </c>
      <c r="L45" s="138" t="str">
        <f>Calculations!M51</f>
        <v>pcs</v>
      </c>
      <c r="M45" s="23" t="s">
        <v>158</v>
      </c>
      <c r="N45" s="134">
        <f>'Fixed data'!E49</f>
        <v>1</v>
      </c>
      <c r="O45" s="136" t="str">
        <f>Calculations!O51</f>
        <v>pc/pc</v>
      </c>
      <c r="P45" s="22"/>
      <c r="Q45" s="22"/>
      <c r="R45" s="22"/>
      <c r="S45" s="22"/>
      <c r="T45" s="22"/>
      <c r="U45" s="1"/>
      <c r="V45" s="1"/>
      <c r="W45" s="1"/>
      <c r="X45" s="1"/>
    </row>
    <row r="46" spans="1:24" s="14" customFormat="1" ht="30" customHeight="1">
      <c r="A46" s="193" t="str">
        <f>CountryItems!A38</f>
        <v>Funnel</v>
      </c>
      <c r="B46" s="46"/>
      <c r="C46" s="127">
        <v>100</v>
      </c>
      <c r="D46" s="190" t="str">
        <f>CountryItems!C38</f>
        <v>pc</v>
      </c>
      <c r="E46" s="127">
        <v>100</v>
      </c>
      <c r="F46" s="190" t="str">
        <f t="shared" si="1"/>
        <v>pc</v>
      </c>
      <c r="G46" s="126">
        <f>IF(ISERROR(Calculations!J52),"",Calculations!J52)</f>
        <v>1200</v>
      </c>
      <c r="H46" s="130">
        <f>IF(Calculations!K52&lt;=0,0,Calculations!K52)</f>
        <v>0</v>
      </c>
      <c r="I46" s="84" t="str">
        <f t="shared" si="3"/>
        <v>pc</v>
      </c>
      <c r="J46" s="23" t="s">
        <v>157</v>
      </c>
      <c r="K46" s="25">
        <f>IF(ISERROR(Calculations!L52),"",Calculations!L52)</f>
        <v>0</v>
      </c>
      <c r="L46" s="138" t="str">
        <f>Calculations!M52</f>
        <v>packs</v>
      </c>
      <c r="M46" s="23" t="s">
        <v>158</v>
      </c>
      <c r="N46" s="134">
        <f>'Fixed data'!E50</f>
        <v>10</v>
      </c>
      <c r="O46" s="136" t="str">
        <f>Calculations!O52</f>
        <v>pc/pack</v>
      </c>
      <c r="P46" s="22"/>
      <c r="Q46" s="22"/>
      <c r="R46" s="22"/>
      <c r="S46" s="22"/>
      <c r="T46" s="22"/>
      <c r="U46" s="1"/>
      <c r="V46" s="1"/>
      <c r="W46" s="1"/>
      <c r="X46" s="1"/>
    </row>
    <row r="47" spans="1:24" s="14" customFormat="1" ht="30" customHeight="1">
      <c r="A47" s="193" t="str">
        <f>CountryItems!A39</f>
        <v>Disinfectant</v>
      </c>
      <c r="B47" s="46"/>
      <c r="C47" s="127">
        <v>100</v>
      </c>
      <c r="D47" s="190" t="str">
        <f>CountryItems!C39</f>
        <v>L</v>
      </c>
      <c r="E47" s="127">
        <v>100</v>
      </c>
      <c r="F47" s="190" t="str">
        <f t="shared" si="1"/>
        <v>L</v>
      </c>
      <c r="G47" s="126">
        <f>IF(ISERROR(Calculations!J53),"",Calculations!J53)</f>
        <v>24</v>
      </c>
      <c r="H47" s="130">
        <f>IF(Calculations!K53&lt;=0,0,Calculations!K53)</f>
        <v>100</v>
      </c>
      <c r="I47" s="84" t="str">
        <f t="shared" si="3"/>
        <v>L</v>
      </c>
      <c r="J47" s="23" t="s">
        <v>157</v>
      </c>
      <c r="K47" s="25">
        <f>IF(ISERROR(Calculations!L53),"",Calculations!L53)</f>
        <v>20</v>
      </c>
      <c r="L47" s="138" t="str">
        <f>Calculations!M53</f>
        <v>containers</v>
      </c>
      <c r="M47" s="23" t="s">
        <v>158</v>
      </c>
      <c r="N47" s="134">
        <f>'Fixed data'!E51</f>
        <v>5</v>
      </c>
      <c r="O47" s="136" t="str">
        <f>Calculations!O53</f>
        <v>L/container</v>
      </c>
      <c r="P47" s="22"/>
      <c r="Q47" s="22"/>
      <c r="R47" s="22"/>
      <c r="S47" s="22"/>
      <c r="T47" s="22"/>
      <c r="U47" s="1"/>
      <c r="V47" s="1"/>
      <c r="W47" s="1"/>
      <c r="X47" s="1"/>
    </row>
    <row r="48" spans="1:24" s="14" customFormat="1" ht="30" customHeight="1">
      <c r="A48" s="193" t="str">
        <f>CountryItems!A40</f>
        <v>Lab coat</v>
      </c>
      <c r="B48" s="46"/>
      <c r="C48" s="127">
        <v>100</v>
      </c>
      <c r="D48" s="190" t="str">
        <f>CountryItems!C40</f>
        <v>pc</v>
      </c>
      <c r="E48" s="127">
        <v>100</v>
      </c>
      <c r="F48" s="190" t="str">
        <f t="shared" si="1"/>
        <v>pc</v>
      </c>
      <c r="G48" s="126">
        <f>IF(ISERROR(Calculations!J54),"",Calculations!J54)</f>
        <v>240</v>
      </c>
      <c r="H48" s="130">
        <f>IF(Calculations!K54&lt;=0,0,Calculations!K54)</f>
        <v>0</v>
      </c>
      <c r="I48" s="84" t="str">
        <f t="shared" si="3"/>
        <v>pc</v>
      </c>
      <c r="J48" s="23" t="s">
        <v>157</v>
      </c>
      <c r="K48" s="25">
        <f>IF(ISERROR(Calculations!L54),"",Calculations!L54)</f>
        <v>0</v>
      </c>
      <c r="L48" s="138" t="str">
        <f>Calculations!M54</f>
        <v>pcs</v>
      </c>
      <c r="M48" s="23" t="s">
        <v>158</v>
      </c>
      <c r="N48" s="134">
        <f>'Fixed data'!E52</f>
        <v>1</v>
      </c>
      <c r="O48" s="136" t="str">
        <f>Calculations!O54</f>
        <v>pc/pc</v>
      </c>
      <c r="P48" s="22"/>
      <c r="Q48" s="22"/>
      <c r="R48" s="22"/>
      <c r="S48" s="22"/>
      <c r="T48" s="22"/>
      <c r="U48" s="1"/>
      <c r="V48" s="1"/>
      <c r="W48" s="1"/>
      <c r="X48" s="1"/>
    </row>
    <row r="49" spans="1:24" s="14" customFormat="1" ht="30" customHeight="1">
      <c r="A49" s="193" t="str">
        <f>CountryItems!A41</f>
        <v>Other product calculated per lab</v>
      </c>
      <c r="B49" s="85"/>
      <c r="C49" s="127"/>
      <c r="D49" s="190">
        <f>CountryItems!C41</f>
        <v>0</v>
      </c>
      <c r="E49" s="127"/>
      <c r="F49" s="190">
        <f t="shared" si="1"/>
        <v>0</v>
      </c>
      <c r="G49" s="126">
        <f>IF(ISERROR(Calculations!J55),"",Calculations!J55)</f>
      </c>
      <c r="H49" s="132">
        <f>IF(Calculations!K55&lt;=0,0,Calculations!K55)</f>
        <v>0</v>
      </c>
      <c r="I49" s="86">
        <f>D49</f>
        <v>0</v>
      </c>
      <c r="J49" s="87" t="s">
        <v>157</v>
      </c>
      <c r="K49" s="25">
        <f>IF(ISERROR(Calculations!L55),"",Calculations!L55)</f>
      </c>
      <c r="L49" s="137" t="str">
        <f>Calculations!M55</f>
        <v>0s</v>
      </c>
      <c r="M49" s="87" t="s">
        <v>158</v>
      </c>
      <c r="N49" s="133">
        <f>'Fixed data'!E53</f>
        <v>0</v>
      </c>
      <c r="O49" s="136" t="str">
        <f>Calculations!O55</f>
        <v>0/0</v>
      </c>
      <c r="P49" s="45"/>
      <c r="Q49" s="45"/>
      <c r="R49" s="45"/>
      <c r="S49" s="45"/>
      <c r="T49" s="45"/>
      <c r="U49" s="1"/>
      <c r="V49" s="1"/>
      <c r="W49" s="1"/>
      <c r="X49" s="1"/>
    </row>
    <row r="50" spans="1:24" s="14" customFormat="1" ht="30" customHeight="1" thickBot="1">
      <c r="A50" s="193" t="str">
        <f>CountryItems!A42</f>
        <v>Other product calculated per lab</v>
      </c>
      <c r="B50" s="46"/>
      <c r="C50" s="128"/>
      <c r="D50" s="191">
        <f>CountryItems!C42</f>
        <v>0</v>
      </c>
      <c r="E50" s="128"/>
      <c r="F50" s="191">
        <f>D50</f>
        <v>0</v>
      </c>
      <c r="G50" s="126">
        <f>IF(ISERROR(Calculations!J56),"",Calculations!J56)</f>
      </c>
      <c r="H50" s="130">
        <f>IF(Calculations!K56&lt;=0,0,Calculations!K56)</f>
        <v>0</v>
      </c>
      <c r="I50" s="84">
        <f>D50</f>
        <v>0</v>
      </c>
      <c r="J50" s="23" t="s">
        <v>157</v>
      </c>
      <c r="K50" s="25">
        <f>IF(ISERROR(Calculations!L56),"",Calculations!L56)</f>
      </c>
      <c r="L50" s="138" t="str">
        <f>Calculations!M56</f>
        <v>0s</v>
      </c>
      <c r="M50" s="23" t="s">
        <v>158</v>
      </c>
      <c r="N50" s="134">
        <f>'Fixed data'!E54</f>
        <v>0</v>
      </c>
      <c r="O50" s="136" t="str">
        <f>Calculations!O56</f>
        <v>0/0</v>
      </c>
      <c r="P50" s="22"/>
      <c r="Q50" s="22"/>
      <c r="R50" s="22"/>
      <c r="S50" s="22"/>
      <c r="T50" s="22"/>
      <c r="U50" s="1"/>
      <c r="V50" s="1"/>
      <c r="W50" s="1"/>
      <c r="X50" s="1"/>
    </row>
    <row r="51" ht="6" customHeight="1" thickTop="1"/>
    <row r="52" spans="1:2" ht="15">
      <c r="A52" s="17" t="s">
        <v>113</v>
      </c>
      <c r="B52" s="14" t="s">
        <v>161</v>
      </c>
    </row>
    <row r="53" spans="1:2" ht="15">
      <c r="A53" s="17" t="s">
        <v>115</v>
      </c>
      <c r="B53" s="14" t="s">
        <v>162</v>
      </c>
    </row>
    <row r="54" spans="1:2" ht="15">
      <c r="A54" s="17" t="s">
        <v>116</v>
      </c>
      <c r="B54" s="14" t="s">
        <v>163</v>
      </c>
    </row>
    <row r="55" spans="1:2" ht="15">
      <c r="A55" s="17" t="s">
        <v>117</v>
      </c>
      <c r="B55" s="14" t="s">
        <v>164</v>
      </c>
    </row>
    <row r="56" spans="1:2" ht="15">
      <c r="A56" s="17" t="s">
        <v>122</v>
      </c>
      <c r="B56" s="14" t="s">
        <v>159</v>
      </c>
    </row>
    <row r="57" spans="1:2" ht="15">
      <c r="A57" s="17" t="s">
        <v>125</v>
      </c>
      <c r="B57" s="14" t="s">
        <v>160</v>
      </c>
    </row>
    <row r="58" spans="1:2" ht="15">
      <c r="A58" s="17" t="s">
        <v>220</v>
      </c>
      <c r="B58" s="14" t="s">
        <v>221</v>
      </c>
    </row>
    <row r="59" spans="1:2" ht="15">
      <c r="A59" s="17"/>
      <c r="B59" s="14" t="s">
        <v>222</v>
      </c>
    </row>
    <row r="60" spans="2:17" s="14" customFormat="1" ht="38.25" customHeight="1">
      <c r="B60" s="12" t="s">
        <v>165</v>
      </c>
      <c r="C60" s="24"/>
      <c r="D60" s="24"/>
      <c r="E60" s="104"/>
      <c r="G60" s="14" t="s">
        <v>119</v>
      </c>
      <c r="I60" s="24"/>
      <c r="J60" s="24"/>
      <c r="K60" s="24"/>
      <c r="L60" s="24"/>
      <c r="M60" s="24"/>
      <c r="Q60" s="104"/>
    </row>
  </sheetData>
  <sheetProtection sheet="1" objects="1" scenarios="1" formatCells="0" formatColumns="0" formatRows="0" insertColumns="0" insertRows="0"/>
  <mergeCells count="9">
    <mergeCell ref="A1:R1"/>
    <mergeCell ref="C9:D9"/>
    <mergeCell ref="L5:M5"/>
    <mergeCell ref="H9:O9"/>
    <mergeCell ref="L7:M7"/>
    <mergeCell ref="L6:M6"/>
    <mergeCell ref="B3:C3"/>
    <mergeCell ref="E9:F9"/>
    <mergeCell ref="O5:T7"/>
  </mergeCells>
  <conditionalFormatting sqref="E1:E8 E51:E65536 G9:G50">
    <cfRule type="cellIs" priority="1" dxfId="0" operator="between" stopIfTrue="1">
      <formula>$G$7</formula>
      <formula>$G$7+$H$7</formula>
    </cfRule>
    <cfRule type="cellIs" priority="2" dxfId="1" operator="lessThan" stopIfTrue="1">
      <formula>$G$7</formula>
    </cfRule>
  </conditionalFormatting>
  <dataValidations count="2">
    <dataValidation type="whole" operator="greaterThanOrEqual" allowBlank="1" showInputMessage="1" showErrorMessage="1" error="You must enter a number rounded to the nearest unit" sqref="C10:C50 E10:E50">
      <formula1>0</formula1>
    </dataValidation>
    <dataValidation type="whole" operator="greaterThanOrEqual" allowBlank="1" showInputMessage="1" showErrorMessage="1" error="You must enter a number without decimals" sqref="L5:M7">
      <formula1>0</formula1>
    </dataValidation>
  </dataValidations>
  <printOptions horizontalCentered="1"/>
  <pageMargins left="0.5511811023622047" right="0.5511811023622047" top="0.3937007874015748" bottom="0.3937007874015748" header="0.5118110236220472" footer="0.5118110236220472"/>
  <pageSetup fitToHeight="0" fitToWidth="1" horizontalDpi="300" verticalDpi="300" orientation="landscape" paperSize="9" scale="68" r:id="rId1"/>
  <rowBreaks count="1" manualBreakCount="1">
    <brk id="30" max="16" man="1"/>
  </rowBreaks>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showGridLines="0" showZeros="0" zoomScale="84" zoomScaleNormal="84" workbookViewId="0" topLeftCell="A1">
      <selection activeCell="C20" sqref="C20"/>
    </sheetView>
  </sheetViews>
  <sheetFormatPr defaultColWidth="9.00390625" defaultRowHeight="14.25"/>
  <cols>
    <col min="1" max="1" width="9.00390625" style="1" customWidth="1"/>
    <col min="2" max="2" width="35.375" style="1" customWidth="1"/>
    <col min="3" max="3" width="18.375" style="1" customWidth="1"/>
    <col min="4" max="4" width="12.125" style="1" customWidth="1"/>
    <col min="5" max="5" width="16.625" style="1" customWidth="1"/>
    <col min="6" max="6" width="5.625" style="1" customWidth="1"/>
    <col min="7" max="7" width="1.75390625" style="1" customWidth="1"/>
    <col min="8" max="8" width="9.875" style="1" customWidth="1"/>
    <col min="9" max="9" width="9.00390625" style="1" customWidth="1"/>
    <col min="10" max="10" width="36.875" style="1" customWidth="1"/>
    <col min="11" max="11" width="9.00390625" style="1" customWidth="1"/>
    <col min="12" max="12" width="10.125" style="1" customWidth="1"/>
    <col min="13" max="16384" width="9.00390625" style="1" customWidth="1"/>
  </cols>
  <sheetData>
    <row r="1" spans="1:12" ht="20.25">
      <c r="A1" s="252" t="s">
        <v>166</v>
      </c>
      <c r="B1" s="252"/>
      <c r="C1" s="252"/>
      <c r="D1" s="252"/>
      <c r="E1" s="252"/>
      <c r="F1" s="252"/>
      <c r="G1" s="252"/>
      <c r="H1" s="252"/>
      <c r="I1" s="252"/>
      <c r="J1" s="252"/>
      <c r="K1" s="252"/>
      <c r="L1" s="252"/>
    </row>
    <row r="2" spans="1:12" ht="24" customHeight="1">
      <c r="A2" s="253" t="s">
        <v>167</v>
      </c>
      <c r="B2" s="253"/>
      <c r="C2" s="253"/>
      <c r="D2" s="253"/>
      <c r="E2" s="253"/>
      <c r="F2" s="253"/>
      <c r="G2" s="253"/>
      <c r="H2" s="253"/>
      <c r="I2" s="253"/>
      <c r="J2" s="253"/>
      <c r="K2" s="253"/>
      <c r="L2" s="253"/>
    </row>
    <row r="3" ht="15" thickBot="1"/>
    <row r="4" spans="1:7" s="60" customFormat="1" ht="30" customHeight="1" thickBot="1">
      <c r="A4" s="58" t="s">
        <v>168</v>
      </c>
      <c r="B4" s="59"/>
      <c r="C4" s="59"/>
      <c r="E4" s="61">
        <v>12</v>
      </c>
      <c r="F4" s="115"/>
      <c r="G4" s="115"/>
    </row>
    <row r="5" spans="1:7" ht="30" customHeight="1" thickBot="1">
      <c r="A5" s="58" t="s">
        <v>215</v>
      </c>
      <c r="B5" s="38"/>
      <c r="C5" s="38"/>
      <c r="E5" s="61">
        <v>12</v>
      </c>
      <c r="F5" s="57"/>
      <c r="G5" s="57"/>
    </row>
    <row r="6" spans="1:11" s="60" customFormat="1" ht="30" customHeight="1" thickBot="1">
      <c r="A6" s="58" t="s">
        <v>169</v>
      </c>
      <c r="B6" s="59"/>
      <c r="C6" s="59"/>
      <c r="E6" s="61">
        <v>12</v>
      </c>
      <c r="F6" s="115"/>
      <c r="G6" s="115"/>
      <c r="J6" s="112" t="s">
        <v>231</v>
      </c>
      <c r="K6" s="113">
        <f>(E6+E5)/E4</f>
        <v>2</v>
      </c>
    </row>
    <row r="7" ht="15" thickBot="1"/>
    <row r="8" spans="1:12" s="19" customFormat="1" ht="96.75" customHeight="1" thickBot="1">
      <c r="A8" s="6" t="s">
        <v>114</v>
      </c>
      <c r="B8" s="8"/>
      <c r="C8" s="241" t="s">
        <v>205</v>
      </c>
      <c r="D8" s="242"/>
      <c r="E8" s="243" t="s">
        <v>170</v>
      </c>
      <c r="F8" s="244"/>
      <c r="G8" s="244"/>
      <c r="H8" s="245"/>
      <c r="J8" s="243" t="s">
        <v>171</v>
      </c>
      <c r="K8" s="244"/>
      <c r="L8" s="245"/>
    </row>
    <row r="9" spans="1:12" ht="30" customHeight="1" thickTop="1">
      <c r="A9" s="73" t="str">
        <f>'Variable data'!A10</f>
        <v>Sputum container</v>
      </c>
      <c r="B9" s="48"/>
      <c r="C9" s="49"/>
      <c r="D9" s="50"/>
      <c r="E9" s="197">
        <f>CountryItems!E2</f>
        <v>1000</v>
      </c>
      <c r="F9" s="116" t="str">
        <f>'Variable data'!D10</f>
        <v>pc</v>
      </c>
      <c r="G9" s="118" t="s">
        <v>207</v>
      </c>
      <c r="H9" s="120" t="str">
        <f>CountryItems!D2</f>
        <v>carton</v>
      </c>
      <c r="I9" s="19"/>
      <c r="J9" s="79" t="str">
        <f>A9</f>
        <v>Sputum container</v>
      </c>
      <c r="K9" s="55">
        <v>1</v>
      </c>
      <c r="L9" s="120" t="str">
        <f>'Variable data'!D10</f>
        <v>pc</v>
      </c>
    </row>
    <row r="10" spans="1:12" ht="30" customHeight="1">
      <c r="A10" s="74" t="str">
        <f>'Variable data'!A11</f>
        <v>Microscopy slides</v>
      </c>
      <c r="B10" s="39"/>
      <c r="C10" s="51"/>
      <c r="D10" s="52"/>
      <c r="E10" s="198">
        <f>CountryItems!E3</f>
        <v>50</v>
      </c>
      <c r="F10" s="117" t="str">
        <f>'Variable data'!D11</f>
        <v>pc</v>
      </c>
      <c r="G10" s="119" t="s">
        <v>207</v>
      </c>
      <c r="H10" s="47" t="str">
        <f>CountryItems!D3</f>
        <v>pack</v>
      </c>
      <c r="I10" s="19"/>
      <c r="J10" s="80" t="str">
        <f>A10</f>
        <v>Microscopy slides</v>
      </c>
      <c r="K10" s="40">
        <v>1</v>
      </c>
      <c r="L10" s="47" t="str">
        <f>'Variable data'!D11</f>
        <v>pc</v>
      </c>
    </row>
    <row r="11" spans="1:12" ht="30" customHeight="1">
      <c r="A11" s="74" t="str">
        <f>'Variable data'!A12</f>
        <v>Basic fuchsin</v>
      </c>
      <c r="B11" s="39"/>
      <c r="C11" s="53">
        <v>10</v>
      </c>
      <c r="D11" s="195" t="s">
        <v>155</v>
      </c>
      <c r="E11" s="198">
        <f>CountryItems!E4</f>
        <v>100</v>
      </c>
      <c r="F11" s="117" t="str">
        <f>'Variable data'!D12</f>
        <v>g</v>
      </c>
      <c r="G11" s="119" t="s">
        <v>207</v>
      </c>
      <c r="H11" s="47" t="str">
        <f>CountryItems!D4</f>
        <v>container</v>
      </c>
      <c r="I11" s="19"/>
      <c r="J11" s="42" t="s">
        <v>175</v>
      </c>
      <c r="K11" s="40">
        <v>0.005</v>
      </c>
      <c r="L11" s="43" t="s">
        <v>251</v>
      </c>
    </row>
    <row r="12" spans="1:12" ht="30" customHeight="1">
      <c r="A12" s="26" t="s">
        <v>198</v>
      </c>
      <c r="B12" s="39"/>
      <c r="C12" s="54">
        <v>50</v>
      </c>
      <c r="D12" s="196" t="s">
        <v>155</v>
      </c>
      <c r="E12" s="198">
        <f>CountryItems!E5</f>
        <v>1000</v>
      </c>
      <c r="F12" s="117" t="str">
        <f>'Variable data'!D13</f>
        <v>g</v>
      </c>
      <c r="G12" s="119" t="s">
        <v>207</v>
      </c>
      <c r="H12" s="47" t="str">
        <f>CountryItems!D5</f>
        <v>container</v>
      </c>
      <c r="I12" s="19"/>
      <c r="J12" s="42" t="s">
        <v>176</v>
      </c>
      <c r="K12" s="40">
        <v>0.005</v>
      </c>
      <c r="L12" s="43" t="s">
        <v>251</v>
      </c>
    </row>
    <row r="13" spans="1:12" ht="30" customHeight="1">
      <c r="A13" s="26" t="s">
        <v>199</v>
      </c>
      <c r="B13" s="39"/>
      <c r="C13" s="54">
        <v>30</v>
      </c>
      <c r="D13" s="196" t="s">
        <v>155</v>
      </c>
      <c r="E13" s="198">
        <f>CountryItems!E5</f>
        <v>1000</v>
      </c>
      <c r="F13" s="117" t="str">
        <f>'Variable data'!D13</f>
        <v>g</v>
      </c>
      <c r="G13" s="119" t="s">
        <v>207</v>
      </c>
      <c r="H13" s="47" t="str">
        <f>CountryItems!D5</f>
        <v>container</v>
      </c>
      <c r="I13" s="19"/>
      <c r="J13" s="42" t="s">
        <v>177</v>
      </c>
      <c r="K13" s="40">
        <v>0.005</v>
      </c>
      <c r="L13" s="43" t="s">
        <v>251</v>
      </c>
    </row>
    <row r="14" spans="1:12" ht="30" customHeight="1">
      <c r="A14" s="74" t="str">
        <f>'Variable data'!A14</f>
        <v>Auramine O</v>
      </c>
      <c r="B14" s="39"/>
      <c r="C14" s="54">
        <v>1</v>
      </c>
      <c r="D14" s="196" t="s">
        <v>155</v>
      </c>
      <c r="E14" s="198">
        <f>CountryItems!E6</f>
        <v>50</v>
      </c>
      <c r="F14" s="117" t="str">
        <f>'Variable data'!D14</f>
        <v>g</v>
      </c>
      <c r="G14" s="119" t="s">
        <v>207</v>
      </c>
      <c r="H14" s="47" t="str">
        <f>CountryItems!D6</f>
        <v>container</v>
      </c>
      <c r="I14" s="19"/>
      <c r="J14" s="42" t="s">
        <v>191</v>
      </c>
      <c r="K14" s="40">
        <v>0.007</v>
      </c>
      <c r="L14" s="43" t="s">
        <v>251</v>
      </c>
    </row>
    <row r="15" spans="1:12" ht="30" customHeight="1">
      <c r="A15" s="74" t="str">
        <f>'Variable data'!A15</f>
        <v>Potassium permanganate</v>
      </c>
      <c r="B15" s="39"/>
      <c r="C15" s="54">
        <v>0</v>
      </c>
      <c r="D15" s="196" t="s">
        <v>155</v>
      </c>
      <c r="E15" s="198">
        <f>CountryItems!E7</f>
        <v>250</v>
      </c>
      <c r="F15" s="117" t="str">
        <f>'Variable data'!D15</f>
        <v>g</v>
      </c>
      <c r="G15" s="119" t="s">
        <v>207</v>
      </c>
      <c r="H15" s="47" t="str">
        <f>CountryItems!D7</f>
        <v>container</v>
      </c>
      <c r="I15" s="19"/>
      <c r="J15" s="42" t="s">
        <v>192</v>
      </c>
      <c r="K15" s="40">
        <v>0.007</v>
      </c>
      <c r="L15" s="43" t="s">
        <v>251</v>
      </c>
    </row>
    <row r="16" spans="1:12" ht="30" customHeight="1">
      <c r="A16" s="74" t="str">
        <f>'Variable data'!A16</f>
        <v>Sulfuric acid, concentrated</v>
      </c>
      <c r="B16" s="39"/>
      <c r="C16" s="54">
        <v>200</v>
      </c>
      <c r="D16" s="196" t="s">
        <v>118</v>
      </c>
      <c r="E16" s="198">
        <f>CountryItems!E8</f>
        <v>2.5</v>
      </c>
      <c r="F16" s="117" t="str">
        <f>'Variable data'!D16</f>
        <v>litre</v>
      </c>
      <c r="G16" s="119" t="s">
        <v>207</v>
      </c>
      <c r="H16" s="47" t="str">
        <f>CountryItems!D8</f>
        <v>bottle</v>
      </c>
      <c r="I16" s="19"/>
      <c r="J16" s="42" t="s">
        <v>178</v>
      </c>
      <c r="K16" s="40">
        <v>0.005</v>
      </c>
      <c r="L16" s="43" t="s">
        <v>251</v>
      </c>
    </row>
    <row r="17" spans="1:12" ht="30" customHeight="1">
      <c r="A17" s="26" t="s">
        <v>189</v>
      </c>
      <c r="B17" s="39"/>
      <c r="C17" s="54">
        <v>0</v>
      </c>
      <c r="D17" s="196" t="s">
        <v>118</v>
      </c>
      <c r="E17" s="198">
        <f>CountryItems!E9</f>
        <v>2.5</v>
      </c>
      <c r="F17" s="117" t="str">
        <f>'Variable data'!D17</f>
        <v>litre</v>
      </c>
      <c r="G17" s="119" t="s">
        <v>207</v>
      </c>
      <c r="H17" s="47" t="str">
        <f>CountryItems!D9</f>
        <v>bottle</v>
      </c>
      <c r="I17" s="19"/>
      <c r="J17" s="80" t="str">
        <f>A26</f>
        <v>Burning spirit</v>
      </c>
      <c r="K17" s="40">
        <v>0.001</v>
      </c>
      <c r="L17" s="47" t="str">
        <f>'Variable data'!D22</f>
        <v>litre</v>
      </c>
    </row>
    <row r="18" spans="1:12" ht="30" customHeight="1">
      <c r="A18" s="26" t="s">
        <v>190</v>
      </c>
      <c r="B18" s="39"/>
      <c r="C18" s="54">
        <v>10</v>
      </c>
      <c r="D18" s="196" t="s">
        <v>118</v>
      </c>
      <c r="E18" s="198">
        <f>CountryItems!E9</f>
        <v>2.5</v>
      </c>
      <c r="F18" s="117" t="str">
        <f>'Variable data'!D17</f>
        <v>litre</v>
      </c>
      <c r="G18" s="119" t="s">
        <v>207</v>
      </c>
      <c r="H18" s="47" t="str">
        <f>CountryItems!D9</f>
        <v>bottle</v>
      </c>
      <c r="I18" s="19"/>
      <c r="J18" s="80" t="str">
        <f>A27</f>
        <v>Immersion oil</v>
      </c>
      <c r="K18" s="40">
        <v>0.1</v>
      </c>
      <c r="L18" s="47" t="str">
        <f>'Variable data'!D23</f>
        <v>ml</v>
      </c>
    </row>
    <row r="19" spans="1:12" ht="30" customHeight="1">
      <c r="A19" s="26" t="s">
        <v>274</v>
      </c>
      <c r="B19" s="39"/>
      <c r="C19" s="54">
        <v>1</v>
      </c>
      <c r="D19" s="196" t="s">
        <v>155</v>
      </c>
      <c r="E19" s="198">
        <f>CountryItems!E10</f>
        <v>100</v>
      </c>
      <c r="F19" s="117" t="str">
        <f>'Variable data'!D18</f>
        <v>g</v>
      </c>
      <c r="G19" s="119" t="s">
        <v>207</v>
      </c>
      <c r="H19" s="47" t="str">
        <f>CountryItems!D10</f>
        <v>container</v>
      </c>
      <c r="I19" s="19"/>
      <c r="J19" s="80" t="str">
        <f>A24</f>
        <v>Other item calculated per smear</v>
      </c>
      <c r="K19" s="40">
        <v>0</v>
      </c>
      <c r="L19" s="43" t="s">
        <v>251</v>
      </c>
    </row>
    <row r="20" spans="1:12" ht="30" customHeight="1" thickBot="1">
      <c r="A20" s="26" t="s">
        <v>275</v>
      </c>
      <c r="B20" s="39"/>
      <c r="C20" s="54"/>
      <c r="D20" s="196" t="s">
        <v>155</v>
      </c>
      <c r="E20" s="198">
        <f>CountryItems!E10</f>
        <v>100</v>
      </c>
      <c r="F20" s="117" t="str">
        <f>'Variable data'!D18</f>
        <v>g</v>
      </c>
      <c r="G20" s="119" t="s">
        <v>207</v>
      </c>
      <c r="H20" s="47" t="str">
        <f>CountryItems!D10</f>
        <v>container</v>
      </c>
      <c r="I20" s="19"/>
      <c r="J20" s="80" t="str">
        <f>A25</f>
        <v>Other item calculated per smear</v>
      </c>
      <c r="K20" s="41"/>
      <c r="L20" s="43" t="s">
        <v>251</v>
      </c>
    </row>
    <row r="21" spans="1:9" ht="30" customHeight="1" thickTop="1">
      <c r="A21" s="26" t="s">
        <v>224</v>
      </c>
      <c r="B21" s="39"/>
      <c r="C21" s="54">
        <v>100</v>
      </c>
      <c r="D21" s="196" t="s">
        <v>118</v>
      </c>
      <c r="E21" s="198">
        <f>CountryItems!E11</f>
        <v>2.5</v>
      </c>
      <c r="F21" s="117" t="str">
        <f>'Variable data'!D19</f>
        <v>litre</v>
      </c>
      <c r="G21" s="119" t="s">
        <v>207</v>
      </c>
      <c r="H21" s="47" t="str">
        <f>CountryItems!D11</f>
        <v>bottle</v>
      </c>
      <c r="I21" s="19"/>
    </row>
    <row r="22" spans="1:9" ht="30" customHeight="1" thickBot="1">
      <c r="A22" s="26" t="s">
        <v>225</v>
      </c>
      <c r="B22" s="39"/>
      <c r="C22" s="54">
        <v>0</v>
      </c>
      <c r="D22" s="196" t="s">
        <v>118</v>
      </c>
      <c r="E22" s="198">
        <f>CountryItems!E11</f>
        <v>2.5</v>
      </c>
      <c r="F22" s="117" t="str">
        <f>'Variable data'!D19</f>
        <v>litre</v>
      </c>
      <c r="G22" s="119" t="s">
        <v>207</v>
      </c>
      <c r="H22" s="47" t="str">
        <f>CountryItems!D11</f>
        <v>bottle</v>
      </c>
      <c r="I22" s="19"/>
    </row>
    <row r="23" spans="1:12" ht="30" customHeight="1">
      <c r="A23" s="26" t="s">
        <v>226</v>
      </c>
      <c r="B23" s="39"/>
      <c r="C23" s="54">
        <v>700</v>
      </c>
      <c r="D23" s="196" t="s">
        <v>118</v>
      </c>
      <c r="E23" s="198">
        <f>CountryItems!E11</f>
        <v>2.5</v>
      </c>
      <c r="F23" s="117" t="str">
        <f>'Variable data'!D19</f>
        <v>litre</v>
      </c>
      <c r="G23" s="119" t="s">
        <v>207</v>
      </c>
      <c r="H23" s="47" t="str">
        <f>CountryItems!D11</f>
        <v>bottle</v>
      </c>
      <c r="I23" s="19"/>
      <c r="J23" s="246" t="s">
        <v>200</v>
      </c>
      <c r="K23" s="247"/>
      <c r="L23" s="248"/>
    </row>
    <row r="24" spans="1:12" ht="30" customHeight="1" thickBot="1">
      <c r="A24" s="74" t="str">
        <f>'Variable data'!A20</f>
        <v>Other item calculated per smear</v>
      </c>
      <c r="B24" s="39"/>
      <c r="C24" s="54"/>
      <c r="D24" s="196" t="s">
        <v>155</v>
      </c>
      <c r="E24" s="198">
        <f>CountryItems!E12</f>
        <v>0</v>
      </c>
      <c r="F24" s="117">
        <f>'Variable data'!D20</f>
        <v>0</v>
      </c>
      <c r="G24" s="119" t="s">
        <v>207</v>
      </c>
      <c r="H24" s="47">
        <f>CountryItems!D12</f>
        <v>0</v>
      </c>
      <c r="I24" s="19"/>
      <c r="J24" s="249"/>
      <c r="K24" s="250"/>
      <c r="L24" s="251"/>
    </row>
    <row r="25" spans="1:12" ht="30" customHeight="1">
      <c r="A25" s="74" t="str">
        <f>'Variable data'!A21</f>
        <v>Other item calculated per smear</v>
      </c>
      <c r="B25" s="39"/>
      <c r="C25" s="54"/>
      <c r="D25" s="196" t="s">
        <v>155</v>
      </c>
      <c r="E25" s="198">
        <f>CountryItems!E13</f>
        <v>0</v>
      </c>
      <c r="F25" s="117">
        <f>'Variable data'!D21</f>
        <v>0</v>
      </c>
      <c r="G25" s="119" t="s">
        <v>207</v>
      </c>
      <c r="H25" s="47">
        <f>CountryItems!D13</f>
        <v>0</v>
      </c>
      <c r="I25" s="19"/>
      <c r="J25" s="81" t="str">
        <f aca="true" t="shared" si="0" ref="J25:J35">A28</f>
        <v>Xylene</v>
      </c>
      <c r="K25" s="55">
        <v>0.04</v>
      </c>
      <c r="L25" s="88" t="str">
        <f>'Variable data'!D24</f>
        <v>litre</v>
      </c>
    </row>
    <row r="26" spans="1:12" ht="30" customHeight="1">
      <c r="A26" s="74" t="str">
        <f>'Variable data'!A22</f>
        <v>Burning spirit</v>
      </c>
      <c r="B26" s="39"/>
      <c r="C26" s="51"/>
      <c r="D26" s="52"/>
      <c r="E26" s="198">
        <f>CountryItems!E14</f>
        <v>2.5</v>
      </c>
      <c r="F26" s="117" t="str">
        <f>'Variable data'!D22</f>
        <v>litre</v>
      </c>
      <c r="G26" s="119" t="s">
        <v>207</v>
      </c>
      <c r="H26" s="47" t="str">
        <f>CountryItems!D14</f>
        <v>bottle</v>
      </c>
      <c r="I26" s="19"/>
      <c r="J26" s="82" t="str">
        <f t="shared" si="0"/>
        <v>Cottonwool</v>
      </c>
      <c r="K26" s="40">
        <v>500</v>
      </c>
      <c r="L26" s="47" t="str">
        <f>'Variable data'!D25</f>
        <v>g</v>
      </c>
    </row>
    <row r="27" spans="1:12" ht="30" customHeight="1">
      <c r="A27" s="74" t="str">
        <f>'Variable data'!A23</f>
        <v>Immersion oil</v>
      </c>
      <c r="B27" s="39"/>
      <c r="C27" s="51"/>
      <c r="D27" s="52"/>
      <c r="E27" s="198">
        <f>CountryItems!E15</f>
        <v>100</v>
      </c>
      <c r="F27" s="117" t="str">
        <f>'Variable data'!D23</f>
        <v>ml</v>
      </c>
      <c r="G27" s="119" t="s">
        <v>207</v>
      </c>
      <c r="H27" s="47" t="str">
        <f>CountryItems!D15</f>
        <v>bottle</v>
      </c>
      <c r="I27" s="19"/>
      <c r="J27" s="82" t="str">
        <f t="shared" si="0"/>
        <v>Nichrome wire</v>
      </c>
      <c r="K27" s="40">
        <v>1</v>
      </c>
      <c r="L27" s="47" t="str">
        <f>'Variable data'!D26</f>
        <v>meter</v>
      </c>
    </row>
    <row r="28" spans="1:12" ht="30" customHeight="1">
      <c r="A28" s="74" t="str">
        <f>'Variable data'!A24</f>
        <v>Xylene</v>
      </c>
      <c r="B28" s="39"/>
      <c r="C28" s="51"/>
      <c r="D28" s="52"/>
      <c r="E28" s="198">
        <f>CountryItems!E16</f>
        <v>2.5</v>
      </c>
      <c r="F28" s="117" t="str">
        <f>'Variable data'!D24</f>
        <v>litre</v>
      </c>
      <c r="G28" s="119" t="s">
        <v>207</v>
      </c>
      <c r="H28" s="47" t="str">
        <f>CountryItems!D16</f>
        <v>bottle</v>
      </c>
      <c r="I28" s="19"/>
      <c r="J28" s="82" t="str">
        <f t="shared" si="0"/>
        <v>Gloves M</v>
      </c>
      <c r="K28" s="40">
        <v>100</v>
      </c>
      <c r="L28" s="47" t="str">
        <f>'Variable data'!D27</f>
        <v>pair</v>
      </c>
    </row>
    <row r="29" spans="1:12" ht="30" customHeight="1">
      <c r="A29" s="74" t="str">
        <f>'Variable data'!A25</f>
        <v>Cottonwool</v>
      </c>
      <c r="B29" s="39"/>
      <c r="C29" s="51"/>
      <c r="D29" s="52"/>
      <c r="E29" s="198">
        <f>CountryItems!E17</f>
        <v>500</v>
      </c>
      <c r="F29" s="117" t="str">
        <f>'Variable data'!D25</f>
        <v>g</v>
      </c>
      <c r="G29" s="119" t="s">
        <v>207</v>
      </c>
      <c r="H29" s="47" t="str">
        <f>CountryItems!D17</f>
        <v>roll</v>
      </c>
      <c r="I29" s="19"/>
      <c r="J29" s="82" t="str">
        <f t="shared" si="0"/>
        <v>Loopholder</v>
      </c>
      <c r="K29" s="40">
        <v>0.2</v>
      </c>
      <c r="L29" s="47" t="str">
        <f>'Variable data'!D28</f>
        <v>pc</v>
      </c>
    </row>
    <row r="30" spans="1:12" ht="30" customHeight="1">
      <c r="A30" s="74" t="str">
        <f>'Variable data'!A26</f>
        <v>Nichrome wire</v>
      </c>
      <c r="B30" s="39"/>
      <c r="C30" s="51"/>
      <c r="D30" s="52"/>
      <c r="E30" s="198">
        <f>CountryItems!E18</f>
        <v>10</v>
      </c>
      <c r="F30" s="117" t="str">
        <f>'Variable data'!D26</f>
        <v>meter</v>
      </c>
      <c r="G30" s="119" t="s">
        <v>207</v>
      </c>
      <c r="H30" s="47" t="str">
        <f>CountryItems!D18</f>
        <v>roll</v>
      </c>
      <c r="I30" s="19"/>
      <c r="J30" s="82" t="str">
        <f t="shared" si="0"/>
        <v>Timer</v>
      </c>
      <c r="K30" s="40">
        <v>0.1</v>
      </c>
      <c r="L30" s="47" t="str">
        <f>'Variable data'!D29</f>
        <v>pc</v>
      </c>
    </row>
    <row r="31" spans="1:12" ht="30" customHeight="1">
      <c r="A31" s="74" t="str">
        <f>'Variable data'!A27</f>
        <v>Gloves M</v>
      </c>
      <c r="B31" s="39"/>
      <c r="C31" s="51"/>
      <c r="D31" s="52"/>
      <c r="E31" s="198">
        <f>CountryItems!E19</f>
        <v>100</v>
      </c>
      <c r="F31" s="117" t="str">
        <f>'Variable data'!D27</f>
        <v>pair</v>
      </c>
      <c r="G31" s="119" t="s">
        <v>207</v>
      </c>
      <c r="H31" s="47" t="str">
        <f>CountryItems!D19</f>
        <v>box</v>
      </c>
      <c r="I31" s="19"/>
      <c r="J31" s="82" t="str">
        <f t="shared" si="0"/>
        <v>Slide forceps</v>
      </c>
      <c r="K31" s="40">
        <v>0.1</v>
      </c>
      <c r="L31" s="47" t="str">
        <f>'Variable data'!D30</f>
        <v>pc</v>
      </c>
    </row>
    <row r="32" spans="1:12" ht="30" customHeight="1">
      <c r="A32" s="74" t="str">
        <f>'Variable data'!A28</f>
        <v>Loopholder</v>
      </c>
      <c r="B32" s="39"/>
      <c r="C32" s="51"/>
      <c r="D32" s="52"/>
      <c r="E32" s="198">
        <f>CountryItems!E20</f>
        <v>10</v>
      </c>
      <c r="F32" s="117" t="str">
        <f>'Variable data'!D28</f>
        <v>pc</v>
      </c>
      <c r="G32" s="119" t="s">
        <v>207</v>
      </c>
      <c r="H32" s="47" t="str">
        <f>CountryItems!D20</f>
        <v>pack</v>
      </c>
      <c r="I32" s="19"/>
      <c r="J32" s="82" t="str">
        <f t="shared" si="0"/>
        <v>Marker</v>
      </c>
      <c r="K32" s="40">
        <v>4</v>
      </c>
      <c r="L32" s="47" t="str">
        <f>'Variable data'!D31</f>
        <v>pc</v>
      </c>
    </row>
    <row r="33" spans="1:12" ht="30" customHeight="1">
      <c r="A33" s="74" t="str">
        <f>'Variable data'!A29</f>
        <v>Timer</v>
      </c>
      <c r="B33" s="39"/>
      <c r="C33" s="51"/>
      <c r="D33" s="52"/>
      <c r="E33" s="198">
        <f>CountryItems!E21</f>
        <v>10</v>
      </c>
      <c r="F33" s="117" t="str">
        <f>'Variable data'!D29</f>
        <v>pc</v>
      </c>
      <c r="G33" s="119" t="s">
        <v>207</v>
      </c>
      <c r="H33" s="47" t="str">
        <f>CountryItems!D21</f>
        <v>pack</v>
      </c>
      <c r="I33" s="19"/>
      <c r="J33" s="82" t="str">
        <f t="shared" si="0"/>
        <v>Spiritlamp</v>
      </c>
      <c r="K33" s="40">
        <v>0.2</v>
      </c>
      <c r="L33" s="47" t="str">
        <f>'Variable data'!D32</f>
        <v>pc</v>
      </c>
    </row>
    <row r="34" spans="1:12" ht="30" customHeight="1">
      <c r="A34" s="74" t="str">
        <f>'Variable data'!A30</f>
        <v>Slide forceps</v>
      </c>
      <c r="B34" s="39"/>
      <c r="C34" s="51"/>
      <c r="D34" s="52"/>
      <c r="E34" s="198">
        <f>CountryItems!E22</f>
        <v>10</v>
      </c>
      <c r="F34" s="117" t="str">
        <f>'Variable data'!D30</f>
        <v>pc</v>
      </c>
      <c r="G34" s="119" t="s">
        <v>207</v>
      </c>
      <c r="H34" s="47" t="str">
        <f>CountryItems!D22</f>
        <v>pack</v>
      </c>
      <c r="I34" s="19"/>
      <c r="J34" s="82" t="str">
        <f t="shared" si="0"/>
        <v>Diamond pencil</v>
      </c>
      <c r="K34" s="40">
        <v>0.1</v>
      </c>
      <c r="L34" s="47" t="str">
        <f>'Variable data'!D33</f>
        <v>pc</v>
      </c>
    </row>
    <row r="35" spans="1:12" ht="30" customHeight="1">
      <c r="A35" s="74" t="str">
        <f>'Variable data'!A31</f>
        <v>Marker</v>
      </c>
      <c r="B35" s="39"/>
      <c r="C35" s="51"/>
      <c r="D35" s="52"/>
      <c r="E35" s="198">
        <f>CountryItems!E23</f>
        <v>10</v>
      </c>
      <c r="F35" s="117" t="str">
        <f>'Variable data'!D31</f>
        <v>pc</v>
      </c>
      <c r="G35" s="119" t="s">
        <v>207</v>
      </c>
      <c r="H35" s="47" t="str">
        <f>CountryItems!D23</f>
        <v>box</v>
      </c>
      <c r="I35" s="19"/>
      <c r="J35" s="82" t="str">
        <f t="shared" si="0"/>
        <v>Spare bulb</v>
      </c>
      <c r="K35" s="40">
        <v>0.5</v>
      </c>
      <c r="L35" s="47" t="str">
        <f>'Variable data'!D34</f>
        <v>pc</v>
      </c>
    </row>
    <row r="36" spans="1:12" ht="30" customHeight="1">
      <c r="A36" s="74" t="str">
        <f>'Variable data'!A32</f>
        <v>Spiritlamp</v>
      </c>
      <c r="B36" s="39"/>
      <c r="C36" s="51"/>
      <c r="D36" s="52"/>
      <c r="E36" s="198">
        <f>CountryItems!E24</f>
        <v>1</v>
      </c>
      <c r="F36" s="117" t="str">
        <f>'Variable data'!D32</f>
        <v>pc</v>
      </c>
      <c r="G36" s="119" t="s">
        <v>207</v>
      </c>
      <c r="H36" s="47" t="str">
        <f>CountryItems!D24</f>
        <v>pc</v>
      </c>
      <c r="I36" s="19"/>
      <c r="J36" s="82" t="str">
        <f aca="true" t="shared" si="1" ref="J36:J51">A39</f>
        <v>Spare mirror</v>
      </c>
      <c r="K36" s="40">
        <v>0.1</v>
      </c>
      <c r="L36" s="47" t="str">
        <f>'Variable data'!D35</f>
        <v>pc</v>
      </c>
    </row>
    <row r="37" spans="1:12" ht="30" customHeight="1">
      <c r="A37" s="74" t="str">
        <f>'Variable data'!A33</f>
        <v>Diamond pencil</v>
      </c>
      <c r="B37" s="39"/>
      <c r="C37" s="51"/>
      <c r="D37" s="52"/>
      <c r="E37" s="198">
        <f>CountryItems!E25</f>
        <v>10</v>
      </c>
      <c r="F37" s="117" t="str">
        <f>'Variable data'!D33</f>
        <v>pc</v>
      </c>
      <c r="G37" s="119" t="s">
        <v>207</v>
      </c>
      <c r="H37" s="47" t="str">
        <f>CountryItems!D25</f>
        <v>pack</v>
      </c>
      <c r="I37" s="19"/>
      <c r="J37" s="82" t="str">
        <f t="shared" si="1"/>
        <v>Spare objective</v>
      </c>
      <c r="K37" s="40">
        <v>0.1</v>
      </c>
      <c r="L37" s="47" t="str">
        <f>'Variable data'!D36</f>
        <v>pc</v>
      </c>
    </row>
    <row r="38" spans="1:12" ht="30" customHeight="1">
      <c r="A38" s="74" t="str">
        <f>'Variable data'!A34</f>
        <v>Spare bulb</v>
      </c>
      <c r="B38" s="39"/>
      <c r="C38" s="51"/>
      <c r="D38" s="52"/>
      <c r="E38" s="198">
        <f>CountryItems!E26</f>
        <v>1</v>
      </c>
      <c r="F38" s="117" t="str">
        <f>'Variable data'!D34</f>
        <v>pc</v>
      </c>
      <c r="G38" s="119" t="s">
        <v>207</v>
      </c>
      <c r="H38" s="47" t="str">
        <f>CountryItems!D26</f>
        <v>pc</v>
      </c>
      <c r="I38" s="19"/>
      <c r="J38" s="82" t="str">
        <f t="shared" si="1"/>
        <v>Spare eyepiece</v>
      </c>
      <c r="K38" s="40">
        <v>0.1</v>
      </c>
      <c r="L38" s="47" t="str">
        <f>'Variable data'!D37</f>
        <v>pc</v>
      </c>
    </row>
    <row r="39" spans="1:12" ht="30" customHeight="1">
      <c r="A39" s="74" t="str">
        <f>'Variable data'!A35</f>
        <v>Spare mirror</v>
      </c>
      <c r="B39" s="39"/>
      <c r="C39" s="51"/>
      <c r="D39" s="52"/>
      <c r="E39" s="198">
        <f>CountryItems!E27</f>
        <v>1</v>
      </c>
      <c r="F39" s="117" t="str">
        <f>'Variable data'!D35</f>
        <v>pc</v>
      </c>
      <c r="G39" s="119" t="s">
        <v>207</v>
      </c>
      <c r="H39" s="47" t="str">
        <f>CountryItems!D27</f>
        <v>pc</v>
      </c>
      <c r="I39" s="19"/>
      <c r="J39" s="82" t="str">
        <f t="shared" si="1"/>
        <v>Slidebox</v>
      </c>
      <c r="K39" s="40">
        <v>0.3</v>
      </c>
      <c r="L39" s="47" t="str">
        <f>'Variable data'!D38</f>
        <v>pc</v>
      </c>
    </row>
    <row r="40" spans="1:12" ht="30" customHeight="1">
      <c r="A40" s="74" t="str">
        <f>'Variable data'!A36</f>
        <v>Spare objective</v>
      </c>
      <c r="B40" s="39"/>
      <c r="C40" s="51"/>
      <c r="D40" s="52"/>
      <c r="E40" s="198">
        <f>CountryItems!E28</f>
        <v>1</v>
      </c>
      <c r="F40" s="117" t="str">
        <f>'Variable data'!D36</f>
        <v>pc</v>
      </c>
      <c r="G40" s="119" t="s">
        <v>207</v>
      </c>
      <c r="H40" s="47" t="str">
        <f>CountryItems!D28</f>
        <v>pc</v>
      </c>
      <c r="I40" s="19"/>
      <c r="J40" s="82" t="str">
        <f t="shared" si="1"/>
        <v>Filter paper circular</v>
      </c>
      <c r="K40" s="40">
        <v>50</v>
      </c>
      <c r="L40" s="47" t="str">
        <f>'Variable data'!D39</f>
        <v>pc</v>
      </c>
    </row>
    <row r="41" spans="1:12" ht="30" customHeight="1">
      <c r="A41" s="74" t="str">
        <f>'Variable data'!A37</f>
        <v>Spare eyepiece</v>
      </c>
      <c r="B41" s="39"/>
      <c r="C41" s="51"/>
      <c r="D41" s="52"/>
      <c r="E41" s="198">
        <f>CountryItems!E29</f>
        <v>1</v>
      </c>
      <c r="F41" s="117" t="str">
        <f>'Variable data'!D37</f>
        <v>pc</v>
      </c>
      <c r="G41" s="119" t="s">
        <v>207</v>
      </c>
      <c r="H41" s="47" t="str">
        <f>CountryItems!D29</f>
        <v>pc</v>
      </c>
      <c r="I41" s="19"/>
      <c r="J41" s="83" t="str">
        <f t="shared" si="1"/>
        <v>Staining bottle</v>
      </c>
      <c r="K41" s="40">
        <v>0.3</v>
      </c>
      <c r="L41" s="47" t="str">
        <f>'Variable data'!D40</f>
        <v>pc</v>
      </c>
    </row>
    <row r="42" spans="1:12" ht="30" customHeight="1">
      <c r="A42" s="74" t="str">
        <f>'Variable data'!A38</f>
        <v>Slidebox</v>
      </c>
      <c r="B42" s="39"/>
      <c r="C42" s="51"/>
      <c r="D42" s="52"/>
      <c r="E42" s="198">
        <f>CountryItems!E30</f>
        <v>1</v>
      </c>
      <c r="F42" s="117" t="str">
        <f>'Variable data'!D38</f>
        <v>pc</v>
      </c>
      <c r="G42" s="119" t="s">
        <v>207</v>
      </c>
      <c r="H42" s="47" t="str">
        <f>CountryItems!D30</f>
        <v>pc</v>
      </c>
      <c r="I42" s="19"/>
      <c r="J42" s="83" t="str">
        <f t="shared" si="1"/>
        <v>Beaker</v>
      </c>
      <c r="K42" s="40">
        <v>0.3</v>
      </c>
      <c r="L42" s="47" t="str">
        <f>'Variable data'!D41</f>
        <v>pc</v>
      </c>
    </row>
    <row r="43" spans="1:12" ht="30" customHeight="1">
      <c r="A43" s="74" t="str">
        <f>'Variable data'!A39</f>
        <v>Filter paper circular</v>
      </c>
      <c r="B43" s="39"/>
      <c r="C43" s="51"/>
      <c r="D43" s="52"/>
      <c r="E43" s="198">
        <f>CountryItems!E31</f>
        <v>100</v>
      </c>
      <c r="F43" s="117" t="str">
        <f>'Variable data'!D39</f>
        <v>pc</v>
      </c>
      <c r="G43" s="119" t="s">
        <v>207</v>
      </c>
      <c r="H43" s="47" t="str">
        <f>CountryItems!D31</f>
        <v>box</v>
      </c>
      <c r="I43" s="19"/>
      <c r="J43" s="83" t="str">
        <f t="shared" si="1"/>
        <v>Dropper bottle</v>
      </c>
      <c r="K43" s="40">
        <v>0.2</v>
      </c>
      <c r="L43" s="47" t="str">
        <f>'Variable data'!D42</f>
        <v>pc</v>
      </c>
    </row>
    <row r="44" spans="1:12" ht="30" customHeight="1">
      <c r="A44" s="239" t="str">
        <f>'Variable data'!A40</f>
        <v>Staining bottle</v>
      </c>
      <c r="B44" s="240"/>
      <c r="C44" s="51"/>
      <c r="D44" s="52"/>
      <c r="E44" s="198">
        <f>CountryItems!E32</f>
        <v>10</v>
      </c>
      <c r="F44" s="117" t="str">
        <f>'Variable data'!D40</f>
        <v>pc</v>
      </c>
      <c r="G44" s="119" t="s">
        <v>207</v>
      </c>
      <c r="H44" s="47" t="str">
        <f>CountryItems!D32</f>
        <v>pack</v>
      </c>
      <c r="I44" s="19"/>
      <c r="J44" s="83" t="str">
        <f t="shared" si="1"/>
        <v>Stock bottle</v>
      </c>
      <c r="K44" s="40">
        <v>0.3</v>
      </c>
      <c r="L44" s="47" t="str">
        <f>'Variable data'!D43</f>
        <v>pc</v>
      </c>
    </row>
    <row r="45" spans="1:12" s="56" customFormat="1" ht="30" customHeight="1">
      <c r="A45" s="239" t="str">
        <f>'Variable data'!A41</f>
        <v>Beaker</v>
      </c>
      <c r="B45" s="240"/>
      <c r="C45" s="51"/>
      <c r="D45" s="52"/>
      <c r="E45" s="198">
        <f>CountryItems!E33</f>
        <v>10</v>
      </c>
      <c r="F45" s="117" t="str">
        <f>'Variable data'!D41</f>
        <v>pc</v>
      </c>
      <c r="G45" s="119" t="s">
        <v>207</v>
      </c>
      <c r="H45" s="47" t="str">
        <f>CountryItems!D33</f>
        <v>pack</v>
      </c>
      <c r="I45" s="19"/>
      <c r="J45" s="83" t="str">
        <f t="shared" si="1"/>
        <v>Solutions transport container</v>
      </c>
      <c r="K45" s="40">
        <v>0.2</v>
      </c>
      <c r="L45" s="47" t="str">
        <f>'Variable data'!D44</f>
        <v>pc</v>
      </c>
    </row>
    <row r="46" spans="1:12" s="56" customFormat="1" ht="30" customHeight="1">
      <c r="A46" s="239" t="str">
        <f>'Variable data'!A42</f>
        <v>Dropper bottle</v>
      </c>
      <c r="B46" s="240"/>
      <c r="C46" s="51"/>
      <c r="D46" s="52"/>
      <c r="E46" s="198">
        <f>CountryItems!E34</f>
        <v>10</v>
      </c>
      <c r="F46" s="117" t="str">
        <f>'Variable data'!D42</f>
        <v>pc</v>
      </c>
      <c r="G46" s="119" t="s">
        <v>207</v>
      </c>
      <c r="H46" s="47" t="str">
        <f>CountryItems!D34</f>
        <v>pack</v>
      </c>
      <c r="I46" s="19"/>
      <c r="J46" s="82" t="str">
        <f t="shared" si="1"/>
        <v>Staining rack</v>
      </c>
      <c r="K46" s="65">
        <v>0.1</v>
      </c>
      <c r="L46" s="47" t="str">
        <f>'Variable data'!D45</f>
        <v>pc</v>
      </c>
    </row>
    <row r="47" spans="1:12" s="56" customFormat="1" ht="30" customHeight="1">
      <c r="A47" s="239" t="str">
        <f>'Variable data'!A43</f>
        <v>Stock bottle</v>
      </c>
      <c r="B47" s="240"/>
      <c r="C47" s="51"/>
      <c r="D47" s="52"/>
      <c r="E47" s="198">
        <f>CountryItems!E35</f>
        <v>10</v>
      </c>
      <c r="F47" s="117" t="str">
        <f>'Variable data'!D43</f>
        <v>pc</v>
      </c>
      <c r="G47" s="119" t="s">
        <v>207</v>
      </c>
      <c r="H47" s="47" t="str">
        <f>CountryItems!D35</f>
        <v>carton</v>
      </c>
      <c r="I47" s="19"/>
      <c r="J47" s="82" t="str">
        <f t="shared" si="1"/>
        <v>Funnel</v>
      </c>
      <c r="K47" s="65">
        <v>0.2</v>
      </c>
      <c r="L47" s="47" t="str">
        <f>'Variable data'!D46</f>
        <v>pc</v>
      </c>
    </row>
    <row r="48" spans="1:12" s="56" customFormat="1" ht="30" customHeight="1">
      <c r="A48" s="239" t="str">
        <f>'Variable data'!A44</f>
        <v>Solutions transport container</v>
      </c>
      <c r="B48" s="240"/>
      <c r="C48" s="51"/>
      <c r="D48" s="52"/>
      <c r="E48" s="198">
        <f>CountryItems!E36</f>
        <v>1</v>
      </c>
      <c r="F48" s="117" t="str">
        <f>'Variable data'!D44</f>
        <v>pc</v>
      </c>
      <c r="G48" s="119" t="s">
        <v>207</v>
      </c>
      <c r="H48" s="47" t="str">
        <f>CountryItems!D36</f>
        <v>pc</v>
      </c>
      <c r="I48" s="19"/>
      <c r="J48" s="82" t="str">
        <f t="shared" si="1"/>
        <v>Disinfectant</v>
      </c>
      <c r="K48" s="65">
        <v>10</v>
      </c>
      <c r="L48" s="47" t="str">
        <f>'Variable data'!D47</f>
        <v>L</v>
      </c>
    </row>
    <row r="49" spans="1:12" s="56" customFormat="1" ht="30" customHeight="1">
      <c r="A49" s="74" t="str">
        <f>'Variable data'!A45</f>
        <v>Staining rack</v>
      </c>
      <c r="B49" s="62"/>
      <c r="C49" s="63"/>
      <c r="D49" s="64"/>
      <c r="E49" s="198">
        <f>CountryItems!E37</f>
        <v>1</v>
      </c>
      <c r="F49" s="117" t="str">
        <f>'Variable data'!D45</f>
        <v>pc</v>
      </c>
      <c r="G49" s="119" t="s">
        <v>207</v>
      </c>
      <c r="H49" s="47" t="str">
        <f>CountryItems!D37</f>
        <v>pc</v>
      </c>
      <c r="I49" s="19"/>
      <c r="J49" s="82" t="str">
        <f t="shared" si="1"/>
        <v>Lab coat</v>
      </c>
      <c r="K49" s="65">
        <v>1</v>
      </c>
      <c r="L49" s="47" t="str">
        <f>'Variable data'!D48</f>
        <v>pc</v>
      </c>
    </row>
    <row r="50" spans="1:12" s="56" customFormat="1" ht="30" customHeight="1">
      <c r="A50" s="74" t="str">
        <f>'Variable data'!A46</f>
        <v>Funnel</v>
      </c>
      <c r="B50" s="62"/>
      <c r="C50" s="63"/>
      <c r="D50" s="64"/>
      <c r="E50" s="198">
        <f>CountryItems!E38</f>
        <v>10</v>
      </c>
      <c r="F50" s="117" t="str">
        <f>'Variable data'!D46</f>
        <v>pc</v>
      </c>
      <c r="G50" s="119" t="s">
        <v>207</v>
      </c>
      <c r="H50" s="47" t="str">
        <f>CountryItems!D38</f>
        <v>pack</v>
      </c>
      <c r="I50" s="19"/>
      <c r="J50" s="82" t="str">
        <f t="shared" si="1"/>
        <v>Other product calculated per lab</v>
      </c>
      <c r="K50" s="65"/>
      <c r="L50" s="47">
        <f>'Variable data'!D49</f>
        <v>0</v>
      </c>
    </row>
    <row r="51" spans="1:12" ht="30" customHeight="1" thickBot="1">
      <c r="A51" s="74" t="str">
        <f>'Variable data'!A47</f>
        <v>Disinfectant</v>
      </c>
      <c r="B51" s="62"/>
      <c r="C51" s="63"/>
      <c r="D51" s="64"/>
      <c r="E51" s="198">
        <f>CountryItems!E39</f>
        <v>5</v>
      </c>
      <c r="F51" s="117" t="str">
        <f>'Variable data'!D47</f>
        <v>L</v>
      </c>
      <c r="G51" s="119" t="s">
        <v>207</v>
      </c>
      <c r="H51" s="47" t="str">
        <f>CountryItems!D39</f>
        <v>container</v>
      </c>
      <c r="I51" s="19"/>
      <c r="J51" s="82" t="str">
        <f t="shared" si="1"/>
        <v>Other product calculated per lab</v>
      </c>
      <c r="K51" s="68"/>
      <c r="L51" s="47">
        <f>'Variable data'!D50</f>
        <v>0</v>
      </c>
    </row>
    <row r="52" spans="1:9" ht="30" customHeight="1" thickTop="1">
      <c r="A52" s="74" t="str">
        <f>'Variable data'!A48</f>
        <v>Lab coat</v>
      </c>
      <c r="B52" s="62"/>
      <c r="C52" s="63"/>
      <c r="D52" s="64"/>
      <c r="E52" s="198">
        <f>CountryItems!E40</f>
        <v>1</v>
      </c>
      <c r="F52" s="117" t="str">
        <f>'Variable data'!D48</f>
        <v>pc</v>
      </c>
      <c r="G52" s="119" t="s">
        <v>207</v>
      </c>
      <c r="H52" s="47" t="str">
        <f>CountryItems!D40</f>
        <v>pc</v>
      </c>
      <c r="I52" s="19"/>
    </row>
    <row r="53" spans="1:9" ht="30" customHeight="1">
      <c r="A53" s="74" t="str">
        <f>'Variable data'!A49</f>
        <v>Other product calculated per lab</v>
      </c>
      <c r="B53" s="62"/>
      <c r="C53" s="63"/>
      <c r="D53" s="64"/>
      <c r="E53" s="198">
        <f>CountryItems!E41</f>
        <v>0</v>
      </c>
      <c r="F53" s="117">
        <f>'Variable data'!D49</f>
        <v>0</v>
      </c>
      <c r="G53" s="119" t="s">
        <v>207</v>
      </c>
      <c r="H53" s="47">
        <f>CountryItems!D41</f>
        <v>0</v>
      </c>
      <c r="I53" s="19"/>
    </row>
    <row r="54" spans="1:8" ht="15.75" thickBot="1">
      <c r="A54" s="74" t="str">
        <f>'Variable data'!A50</f>
        <v>Other product calculated per lab</v>
      </c>
      <c r="B54" s="62"/>
      <c r="C54" s="66"/>
      <c r="D54" s="67"/>
      <c r="E54" s="198">
        <f>CountryItems!E42</f>
        <v>0</v>
      </c>
      <c r="F54" s="117">
        <f>'Variable data'!D50</f>
        <v>0</v>
      </c>
      <c r="G54" s="119" t="s">
        <v>207</v>
      </c>
      <c r="H54" s="47">
        <f>CountryItems!D42</f>
        <v>0</v>
      </c>
    </row>
    <row r="55" ht="15" thickTop="1"/>
    <row r="56" spans="1:2" ht="15">
      <c r="A56" s="18" t="s">
        <v>113</v>
      </c>
      <c r="B56" s="14" t="s">
        <v>172</v>
      </c>
    </row>
  </sheetData>
  <sheetProtection sheet="1" objects="1" scenarios="1" formatColumns="0" formatRows="0"/>
  <mergeCells count="11">
    <mergeCell ref="A1:L1"/>
    <mergeCell ref="A45:B45"/>
    <mergeCell ref="A46:B46"/>
    <mergeCell ref="A47:B47"/>
    <mergeCell ref="A2:L2"/>
    <mergeCell ref="E8:H8"/>
    <mergeCell ref="A48:B48"/>
    <mergeCell ref="C8:D8"/>
    <mergeCell ref="J8:L8"/>
    <mergeCell ref="J23:L24"/>
    <mergeCell ref="A44:B44"/>
  </mergeCells>
  <dataValidations count="2">
    <dataValidation type="decimal" operator="greaterThanOrEqual" allowBlank="1" showInputMessage="1" showErrorMessage="1" error="You must enter a whole or decimal number" sqref="K9:K20 K25:K51 E9:E54">
      <formula1>0</formula1>
    </dataValidation>
    <dataValidation type="whole" operator="greaterThanOrEqual" allowBlank="1" showInputMessage="1" showErrorMessage="1" error="You must enter a whole number" sqref="E4:G4 E6:G6 C11:C25">
      <formula1>0</formula1>
    </dataValidation>
  </dataValidations>
  <printOptions/>
  <pageMargins left="0.7480314960629921" right="0.7480314960629921" top="0.984251968503937" bottom="0.984251968503937" header="0.5118110236220472" footer="0.5118110236220472"/>
  <pageSetup fitToHeight="1"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dimension ref="A1:F55"/>
  <sheetViews>
    <sheetView zoomScale="75" zoomScaleNormal="75" workbookViewId="0" topLeftCell="A12">
      <selection activeCell="F23" sqref="F23"/>
    </sheetView>
  </sheetViews>
  <sheetFormatPr defaultColWidth="9.00390625" defaultRowHeight="14.25"/>
  <cols>
    <col min="1" max="1" width="28.75390625" style="177" customWidth="1"/>
    <col min="2" max="2" width="65.50390625" style="159" customWidth="1"/>
    <col min="3" max="3" width="12.25390625" style="160" customWidth="1"/>
    <col min="4" max="4" width="10.00390625" style="160" customWidth="1"/>
    <col min="5" max="5" width="10.125" style="160" customWidth="1"/>
    <col min="6" max="6" width="10.00390625" style="161" customWidth="1"/>
    <col min="7" max="16384" width="10.00390625" style="157" customWidth="1"/>
  </cols>
  <sheetData>
    <row r="1" spans="1:6" s="174" customFormat="1" ht="25.5">
      <c r="A1" s="199" t="s">
        <v>237</v>
      </c>
      <c r="B1" s="200" t="s">
        <v>250</v>
      </c>
      <c r="C1" s="200" t="s">
        <v>15</v>
      </c>
      <c r="D1" s="200" t="s">
        <v>247</v>
      </c>
      <c r="E1" s="200" t="s">
        <v>13</v>
      </c>
      <c r="F1" s="201" t="s">
        <v>14</v>
      </c>
    </row>
    <row r="2" spans="1:6" s="166" customFormat="1" ht="39.75" customHeight="1">
      <c r="A2" s="175" t="s">
        <v>60</v>
      </c>
      <c r="B2" s="163" t="s">
        <v>264</v>
      </c>
      <c r="C2" s="162" t="s">
        <v>24</v>
      </c>
      <c r="D2" s="162" t="s">
        <v>208</v>
      </c>
      <c r="E2" s="162">
        <v>1000</v>
      </c>
      <c r="F2" s="182">
        <v>80</v>
      </c>
    </row>
    <row r="3" spans="1:6" s="166" customFormat="1" ht="39.75" customHeight="1">
      <c r="A3" s="175" t="s">
        <v>137</v>
      </c>
      <c r="B3" s="155" t="s">
        <v>25</v>
      </c>
      <c r="C3" s="162" t="s">
        <v>24</v>
      </c>
      <c r="D3" s="162" t="s">
        <v>256</v>
      </c>
      <c r="E3" s="162">
        <v>50</v>
      </c>
      <c r="F3" s="182">
        <v>2</v>
      </c>
    </row>
    <row r="4" spans="1:6" s="166" customFormat="1" ht="39.75" customHeight="1">
      <c r="A4" s="175" t="s">
        <v>138</v>
      </c>
      <c r="B4" s="169" t="s">
        <v>17</v>
      </c>
      <c r="C4" s="167" t="s">
        <v>120</v>
      </c>
      <c r="D4" s="167" t="s">
        <v>212</v>
      </c>
      <c r="E4" s="167">
        <v>100</v>
      </c>
      <c r="F4" s="183">
        <v>46</v>
      </c>
    </row>
    <row r="5" spans="1:6" s="166" customFormat="1" ht="39.75" customHeight="1">
      <c r="A5" s="175" t="s">
        <v>139</v>
      </c>
      <c r="B5" s="158" t="s">
        <v>19</v>
      </c>
      <c r="C5" s="167" t="s">
        <v>120</v>
      </c>
      <c r="D5" s="167" t="s">
        <v>212</v>
      </c>
      <c r="E5" s="167">
        <v>1000</v>
      </c>
      <c r="F5" s="183">
        <v>70</v>
      </c>
    </row>
    <row r="6" spans="1:6" s="166" customFormat="1" ht="39.75" customHeight="1">
      <c r="A6" s="175" t="s">
        <v>123</v>
      </c>
      <c r="B6" s="158" t="s">
        <v>22</v>
      </c>
      <c r="C6" s="167" t="s">
        <v>120</v>
      </c>
      <c r="D6" s="167" t="s">
        <v>212</v>
      </c>
      <c r="E6" s="167">
        <v>50</v>
      </c>
      <c r="F6" s="184">
        <v>24</v>
      </c>
    </row>
    <row r="7" spans="1:6" s="166" customFormat="1" ht="39.75" customHeight="1">
      <c r="A7" s="175" t="s">
        <v>140</v>
      </c>
      <c r="B7" s="158" t="s">
        <v>21</v>
      </c>
      <c r="C7" s="167" t="s">
        <v>120</v>
      </c>
      <c r="D7" s="167" t="s">
        <v>212</v>
      </c>
      <c r="E7" s="167">
        <v>250</v>
      </c>
      <c r="F7" s="184">
        <v>70</v>
      </c>
    </row>
    <row r="8" spans="1:6" s="166" customFormat="1" ht="39.75" customHeight="1">
      <c r="A8" s="175" t="s">
        <v>141</v>
      </c>
      <c r="B8" s="158" t="s">
        <v>62</v>
      </c>
      <c r="C8" s="167" t="s">
        <v>251</v>
      </c>
      <c r="D8" s="167" t="s">
        <v>210</v>
      </c>
      <c r="E8" s="167">
        <v>2.5</v>
      </c>
      <c r="F8" s="183">
        <v>60</v>
      </c>
    </row>
    <row r="9" spans="1:6" s="166" customFormat="1" ht="39.75" customHeight="1">
      <c r="A9" s="175" t="s">
        <v>142</v>
      </c>
      <c r="B9" s="158" t="s">
        <v>20</v>
      </c>
      <c r="C9" s="167" t="s">
        <v>251</v>
      </c>
      <c r="D9" s="167" t="s">
        <v>210</v>
      </c>
      <c r="E9" s="167">
        <v>2.5</v>
      </c>
      <c r="F9" s="183">
        <v>20</v>
      </c>
    </row>
    <row r="10" spans="1:6" s="166" customFormat="1" ht="39.75" customHeight="1">
      <c r="A10" s="175" t="s">
        <v>276</v>
      </c>
      <c r="B10" s="158" t="s">
        <v>18</v>
      </c>
      <c r="C10" s="167" t="s">
        <v>120</v>
      </c>
      <c r="D10" s="167" t="s">
        <v>212</v>
      </c>
      <c r="E10" s="167">
        <v>100</v>
      </c>
      <c r="F10" s="183">
        <v>80</v>
      </c>
    </row>
    <row r="11" spans="1:6" s="166" customFormat="1" ht="39.75" customHeight="1">
      <c r="A11" s="175" t="s">
        <v>223</v>
      </c>
      <c r="B11" s="158" t="s">
        <v>61</v>
      </c>
      <c r="C11" s="167" t="s">
        <v>251</v>
      </c>
      <c r="D11" s="167" t="s">
        <v>210</v>
      </c>
      <c r="E11" s="167">
        <v>2.5</v>
      </c>
      <c r="F11" s="183">
        <v>5</v>
      </c>
    </row>
    <row r="12" spans="1:6" s="166" customFormat="1" ht="39.75" customHeight="1">
      <c r="A12" s="175" t="s">
        <v>269</v>
      </c>
      <c r="B12" s="158"/>
      <c r="C12" s="167"/>
      <c r="D12" s="167"/>
      <c r="E12" s="167"/>
      <c r="F12" s="183"/>
    </row>
    <row r="13" spans="1:6" s="166" customFormat="1" ht="39.75" customHeight="1">
      <c r="A13" s="175" t="s">
        <v>269</v>
      </c>
      <c r="B13" s="158"/>
      <c r="C13" s="167"/>
      <c r="D13" s="167"/>
      <c r="E13" s="167"/>
      <c r="F13" s="183"/>
    </row>
    <row r="14" spans="1:6" s="166" customFormat="1" ht="39.75" customHeight="1">
      <c r="A14" s="175" t="s">
        <v>143</v>
      </c>
      <c r="B14" s="158" t="s">
        <v>16</v>
      </c>
      <c r="C14" s="167" t="s">
        <v>251</v>
      </c>
      <c r="D14" s="167" t="s">
        <v>210</v>
      </c>
      <c r="E14" s="167">
        <v>2.5</v>
      </c>
      <c r="F14" s="183">
        <v>1.5</v>
      </c>
    </row>
    <row r="15" spans="1:6" s="166" customFormat="1" ht="39.75" customHeight="1">
      <c r="A15" s="175" t="s">
        <v>144</v>
      </c>
      <c r="B15" s="163" t="s">
        <v>27</v>
      </c>
      <c r="C15" s="162" t="s">
        <v>118</v>
      </c>
      <c r="D15" s="167" t="s">
        <v>210</v>
      </c>
      <c r="E15" s="162">
        <v>100</v>
      </c>
      <c r="F15" s="182">
        <v>30</v>
      </c>
    </row>
    <row r="16" spans="1:6" s="166" customFormat="1" ht="39.75" customHeight="1">
      <c r="A16" s="175" t="s">
        <v>145</v>
      </c>
      <c r="B16" s="163" t="s">
        <v>270</v>
      </c>
      <c r="C16" s="167" t="s">
        <v>251</v>
      </c>
      <c r="D16" s="167" t="s">
        <v>210</v>
      </c>
      <c r="E16" s="162">
        <v>2.5</v>
      </c>
      <c r="F16" s="182">
        <v>60</v>
      </c>
    </row>
    <row r="17" spans="1:6" s="166" customFormat="1" ht="39.75" customHeight="1">
      <c r="A17" s="175" t="s">
        <v>146</v>
      </c>
      <c r="B17" s="163" t="s">
        <v>63</v>
      </c>
      <c r="C17" s="162" t="s">
        <v>120</v>
      </c>
      <c r="D17" s="167" t="s">
        <v>211</v>
      </c>
      <c r="E17" s="162">
        <v>500</v>
      </c>
      <c r="F17" s="182">
        <v>5</v>
      </c>
    </row>
    <row r="18" spans="1:6" s="166" customFormat="1" ht="39.75" customHeight="1">
      <c r="A18" s="175" t="s">
        <v>147</v>
      </c>
      <c r="B18" s="171" t="s">
        <v>45</v>
      </c>
      <c r="C18" s="162" t="s">
        <v>46</v>
      </c>
      <c r="D18" s="162" t="s">
        <v>211</v>
      </c>
      <c r="E18" s="162">
        <v>10</v>
      </c>
      <c r="F18" s="182">
        <v>10</v>
      </c>
    </row>
    <row r="19" spans="1:6" s="166" customFormat="1" ht="39.75" customHeight="1">
      <c r="A19" s="175" t="s">
        <v>104</v>
      </c>
      <c r="B19" s="163" t="s">
        <v>32</v>
      </c>
      <c r="C19" s="162" t="s">
        <v>31</v>
      </c>
      <c r="D19" s="162" t="s">
        <v>209</v>
      </c>
      <c r="E19" s="162">
        <v>100</v>
      </c>
      <c r="F19" s="182">
        <v>10</v>
      </c>
    </row>
    <row r="20" spans="1:6" s="166" customFormat="1" ht="39.75" customHeight="1">
      <c r="A20" s="166" t="s">
        <v>148</v>
      </c>
      <c r="B20" s="171" t="s">
        <v>43</v>
      </c>
      <c r="C20" s="162" t="s">
        <v>24</v>
      </c>
      <c r="D20" s="162" t="s">
        <v>256</v>
      </c>
      <c r="E20" s="162">
        <v>10</v>
      </c>
      <c r="F20" s="182">
        <v>70</v>
      </c>
    </row>
    <row r="21" spans="1:6" s="166" customFormat="1" ht="39.75" customHeight="1">
      <c r="A21" s="166" t="s">
        <v>149</v>
      </c>
      <c r="B21" s="156" t="s">
        <v>50</v>
      </c>
      <c r="C21" s="162" t="s">
        <v>24</v>
      </c>
      <c r="D21" s="162" t="s">
        <v>256</v>
      </c>
      <c r="E21" s="162">
        <v>10</v>
      </c>
      <c r="F21" s="182">
        <v>80</v>
      </c>
    </row>
    <row r="22" spans="1:6" s="166" customFormat="1" ht="39.75" customHeight="1">
      <c r="A22" s="176" t="s">
        <v>64</v>
      </c>
      <c r="B22" s="171" t="s">
        <v>0</v>
      </c>
      <c r="C22" s="162" t="s">
        <v>24</v>
      </c>
      <c r="D22" s="162" t="s">
        <v>256</v>
      </c>
      <c r="E22" s="162">
        <v>10</v>
      </c>
      <c r="F22" s="182">
        <v>50</v>
      </c>
    </row>
    <row r="23" spans="1:6" s="166" customFormat="1" ht="39.75" customHeight="1">
      <c r="A23" s="176" t="s">
        <v>91</v>
      </c>
      <c r="B23" s="171" t="s">
        <v>3</v>
      </c>
      <c r="C23" s="162" t="s">
        <v>24</v>
      </c>
      <c r="D23" s="162" t="s">
        <v>209</v>
      </c>
      <c r="E23" s="162">
        <v>10</v>
      </c>
      <c r="F23" s="182">
        <v>2</v>
      </c>
    </row>
    <row r="24" spans="1:6" s="166" customFormat="1" ht="39.75" customHeight="1">
      <c r="A24" s="166" t="s">
        <v>150</v>
      </c>
      <c r="B24" s="171" t="s">
        <v>42</v>
      </c>
      <c r="C24" s="162" t="s">
        <v>24</v>
      </c>
      <c r="D24" s="162" t="s">
        <v>24</v>
      </c>
      <c r="E24" s="162">
        <v>1</v>
      </c>
      <c r="F24" s="182">
        <v>19</v>
      </c>
    </row>
    <row r="25" spans="1:6" s="166" customFormat="1" ht="39.75" customHeight="1">
      <c r="A25" s="166" t="s">
        <v>151</v>
      </c>
      <c r="B25" s="156" t="s">
        <v>23</v>
      </c>
      <c r="C25" s="162" t="s">
        <v>24</v>
      </c>
      <c r="D25" s="162" t="s">
        <v>256</v>
      </c>
      <c r="E25" s="162">
        <v>10</v>
      </c>
      <c r="F25" s="182">
        <v>200</v>
      </c>
    </row>
    <row r="26" spans="1:6" s="166" customFormat="1" ht="39.75" customHeight="1">
      <c r="A26" s="176" t="s">
        <v>87</v>
      </c>
      <c r="B26" s="171" t="s">
        <v>83</v>
      </c>
      <c r="C26" s="162" t="s">
        <v>24</v>
      </c>
      <c r="D26" s="162" t="s">
        <v>24</v>
      </c>
      <c r="E26" s="162">
        <v>1</v>
      </c>
      <c r="F26" s="182">
        <v>6</v>
      </c>
    </row>
    <row r="27" spans="1:6" s="166" customFormat="1" ht="39.75" customHeight="1">
      <c r="A27" s="176" t="s">
        <v>86</v>
      </c>
      <c r="B27" s="171" t="s">
        <v>78</v>
      </c>
      <c r="C27" s="162" t="s">
        <v>24</v>
      </c>
      <c r="D27" s="162" t="s">
        <v>24</v>
      </c>
      <c r="E27" s="162">
        <v>1</v>
      </c>
      <c r="F27" s="182">
        <v>25</v>
      </c>
    </row>
    <row r="28" spans="1:6" s="166" customFormat="1" ht="39.75" customHeight="1">
      <c r="A28" s="176" t="s">
        <v>84</v>
      </c>
      <c r="B28" s="171" t="s">
        <v>88</v>
      </c>
      <c r="C28" s="162" t="s">
        <v>24</v>
      </c>
      <c r="D28" s="162" t="s">
        <v>24</v>
      </c>
      <c r="E28" s="162">
        <v>1</v>
      </c>
      <c r="F28" s="182">
        <v>150</v>
      </c>
    </row>
    <row r="29" spans="1:6" s="166" customFormat="1" ht="39.75" customHeight="1">
      <c r="A29" s="176" t="s">
        <v>85</v>
      </c>
      <c r="B29" s="171" t="s">
        <v>89</v>
      </c>
      <c r="C29" s="162" t="s">
        <v>24</v>
      </c>
      <c r="D29" s="162" t="s">
        <v>24</v>
      </c>
      <c r="E29" s="162">
        <v>1</v>
      </c>
      <c r="F29" s="182">
        <v>25</v>
      </c>
    </row>
    <row r="30" spans="1:6" s="166" customFormat="1" ht="39.75" customHeight="1">
      <c r="A30" s="176" t="s">
        <v>79</v>
      </c>
      <c r="B30" s="173" t="s">
        <v>49</v>
      </c>
      <c r="C30" s="162" t="s">
        <v>24</v>
      </c>
      <c r="D30" s="162" t="s">
        <v>24</v>
      </c>
      <c r="E30" s="162">
        <v>1</v>
      </c>
      <c r="F30" s="182">
        <v>4.65</v>
      </c>
    </row>
    <row r="31" spans="1:6" s="166" customFormat="1" ht="39.75" customHeight="1">
      <c r="A31" s="176" t="s">
        <v>106</v>
      </c>
      <c r="B31" s="163" t="s">
        <v>109</v>
      </c>
      <c r="C31" s="162" t="s">
        <v>24</v>
      </c>
      <c r="D31" s="162" t="s">
        <v>209</v>
      </c>
      <c r="E31" s="162">
        <v>100</v>
      </c>
      <c r="F31" s="182">
        <v>3</v>
      </c>
    </row>
    <row r="32" spans="1:6" s="166" customFormat="1" ht="39.75" customHeight="1">
      <c r="A32" s="176" t="s">
        <v>94</v>
      </c>
      <c r="B32" s="171" t="s">
        <v>54</v>
      </c>
      <c r="C32" s="162" t="s">
        <v>24</v>
      </c>
      <c r="D32" s="162" t="s">
        <v>256</v>
      </c>
      <c r="E32" s="162">
        <v>10</v>
      </c>
      <c r="F32" s="182">
        <v>20</v>
      </c>
    </row>
    <row r="33" spans="1:6" s="166" customFormat="1" ht="39.75" customHeight="1">
      <c r="A33" s="176" t="s">
        <v>95</v>
      </c>
      <c r="B33" s="171" t="s">
        <v>4</v>
      </c>
      <c r="C33" s="162" t="s">
        <v>24</v>
      </c>
      <c r="D33" s="162" t="s">
        <v>256</v>
      </c>
      <c r="E33" s="162">
        <v>10</v>
      </c>
      <c r="F33" s="182">
        <v>20</v>
      </c>
    </row>
    <row r="34" spans="1:6" s="166" customFormat="1" ht="39.75" customHeight="1">
      <c r="A34" s="176" t="s">
        <v>98</v>
      </c>
      <c r="B34" s="171" t="s">
        <v>8</v>
      </c>
      <c r="C34" s="162" t="s">
        <v>24</v>
      </c>
      <c r="D34" s="162" t="s">
        <v>256</v>
      </c>
      <c r="E34" s="162">
        <v>10</v>
      </c>
      <c r="F34" s="182">
        <v>10</v>
      </c>
    </row>
    <row r="35" spans="1:6" s="166" customFormat="1" ht="39.75" customHeight="1">
      <c r="A35" s="166" t="s">
        <v>93</v>
      </c>
      <c r="B35" s="171" t="s">
        <v>53</v>
      </c>
      <c r="C35" s="162" t="s">
        <v>24</v>
      </c>
      <c r="D35" s="162" t="s">
        <v>208</v>
      </c>
      <c r="E35" s="162">
        <v>10</v>
      </c>
      <c r="F35" s="182">
        <v>30.6</v>
      </c>
    </row>
    <row r="36" spans="1:6" s="166" customFormat="1" ht="39.75" customHeight="1">
      <c r="A36" s="166" t="s">
        <v>110</v>
      </c>
      <c r="B36" s="171" t="s">
        <v>96</v>
      </c>
      <c r="C36" s="162" t="s">
        <v>24</v>
      </c>
      <c r="D36" s="162" t="s">
        <v>24</v>
      </c>
      <c r="E36" s="162">
        <v>1</v>
      </c>
      <c r="F36" s="182">
        <v>5</v>
      </c>
    </row>
    <row r="37" spans="1:6" s="166" customFormat="1" ht="39.75" customHeight="1">
      <c r="A37" s="176" t="s">
        <v>82</v>
      </c>
      <c r="B37" s="163" t="s">
        <v>47</v>
      </c>
      <c r="C37" s="162" t="s">
        <v>24</v>
      </c>
      <c r="D37" s="162" t="s">
        <v>24</v>
      </c>
      <c r="E37" s="162">
        <v>1</v>
      </c>
      <c r="F37" s="182">
        <v>10</v>
      </c>
    </row>
    <row r="38" spans="1:6" s="166" customFormat="1" ht="39.75" customHeight="1">
      <c r="A38" s="176" t="s">
        <v>97</v>
      </c>
      <c r="B38" s="171" t="s">
        <v>111</v>
      </c>
      <c r="C38" s="162" t="s">
        <v>24</v>
      </c>
      <c r="D38" s="162" t="s">
        <v>256</v>
      </c>
      <c r="E38" s="162">
        <v>10</v>
      </c>
      <c r="F38" s="182">
        <v>5</v>
      </c>
    </row>
    <row r="39" spans="1:6" s="166" customFormat="1" ht="39.75" customHeight="1">
      <c r="A39" s="166" t="s">
        <v>152</v>
      </c>
      <c r="B39" s="163" t="s">
        <v>37</v>
      </c>
      <c r="C39" s="162" t="s">
        <v>126</v>
      </c>
      <c r="D39" s="162" t="s">
        <v>212</v>
      </c>
      <c r="E39" s="162">
        <v>5</v>
      </c>
      <c r="F39" s="182">
        <v>5</v>
      </c>
    </row>
    <row r="40" spans="1:6" s="166" customFormat="1" ht="39.75" customHeight="1">
      <c r="A40" s="166" t="s">
        <v>153</v>
      </c>
      <c r="B40" s="163" t="s">
        <v>51</v>
      </c>
      <c r="C40" s="162" t="s">
        <v>24</v>
      </c>
      <c r="D40" s="162" t="s">
        <v>24</v>
      </c>
      <c r="E40" s="162">
        <v>1</v>
      </c>
      <c r="F40" s="182">
        <v>30</v>
      </c>
    </row>
    <row r="41" spans="1:6" s="166" customFormat="1" ht="39.75" customHeight="1">
      <c r="A41" s="166" t="s">
        <v>154</v>
      </c>
      <c r="B41" s="163" t="s">
        <v>51</v>
      </c>
      <c r="C41" s="162"/>
      <c r="D41" s="162"/>
      <c r="E41" s="162"/>
      <c r="F41" s="181"/>
    </row>
    <row r="42" spans="1:6" s="166" customFormat="1" ht="39.75" customHeight="1">
      <c r="A42" s="166" t="s">
        <v>154</v>
      </c>
      <c r="B42" s="163" t="s">
        <v>51</v>
      </c>
      <c r="C42" s="162"/>
      <c r="D42" s="162"/>
      <c r="E42" s="162"/>
      <c r="F42" s="181"/>
    </row>
    <row r="43" spans="1:6" s="166" customFormat="1" ht="12.75">
      <c r="A43" s="175"/>
      <c r="B43" s="158"/>
      <c r="C43" s="167"/>
      <c r="D43" s="167"/>
      <c r="E43" s="167"/>
      <c r="F43" s="168"/>
    </row>
    <row r="44" spans="1:6" s="166" customFormat="1" ht="12.75">
      <c r="A44" s="175"/>
      <c r="B44" s="158"/>
      <c r="C44" s="167"/>
      <c r="D44" s="167"/>
      <c r="E44" s="167"/>
      <c r="F44" s="168"/>
    </row>
    <row r="45" spans="1:6" s="166" customFormat="1" ht="12.75">
      <c r="A45" s="175"/>
      <c r="B45" s="158"/>
      <c r="C45" s="167"/>
      <c r="D45" s="167"/>
      <c r="E45" s="167"/>
      <c r="F45" s="168"/>
    </row>
    <row r="46" spans="1:6" s="166" customFormat="1" ht="12.75">
      <c r="A46" s="175"/>
      <c r="B46" s="158"/>
      <c r="C46" s="167"/>
      <c r="D46" s="167"/>
      <c r="E46" s="167"/>
      <c r="F46" s="168"/>
    </row>
    <row r="47" spans="1:6" s="166" customFormat="1" ht="12.75">
      <c r="A47" s="175"/>
      <c r="B47" s="158"/>
      <c r="C47" s="167"/>
      <c r="D47" s="167"/>
      <c r="E47" s="167"/>
      <c r="F47" s="168"/>
    </row>
    <row r="48" spans="1:6" s="166" customFormat="1" ht="12.75">
      <c r="A48" s="175"/>
      <c r="B48" s="158"/>
      <c r="C48" s="167"/>
      <c r="D48" s="167"/>
      <c r="E48" s="167"/>
      <c r="F48" s="168"/>
    </row>
    <row r="49" spans="1:6" s="166" customFormat="1" ht="12.75">
      <c r="A49" s="175"/>
      <c r="B49" s="158"/>
      <c r="C49" s="167"/>
      <c r="D49" s="167"/>
      <c r="E49" s="167"/>
      <c r="F49" s="168"/>
    </row>
    <row r="50" spans="1:6" s="166" customFormat="1" ht="12.75">
      <c r="A50" s="175"/>
      <c r="B50" s="158"/>
      <c r="C50" s="167"/>
      <c r="D50" s="167"/>
      <c r="E50" s="167"/>
      <c r="F50" s="168"/>
    </row>
    <row r="51" spans="1:6" s="166" customFormat="1" ht="12.75">
      <c r="A51" s="175"/>
      <c r="B51" s="158"/>
      <c r="C51" s="167"/>
      <c r="D51" s="167"/>
      <c r="E51" s="167"/>
      <c r="F51" s="168"/>
    </row>
    <row r="52" spans="1:6" s="166" customFormat="1" ht="12.75">
      <c r="A52" s="175"/>
      <c r="B52" s="158"/>
      <c r="C52" s="167"/>
      <c r="D52" s="167"/>
      <c r="E52" s="167"/>
      <c r="F52" s="168"/>
    </row>
    <row r="53" spans="1:6" s="166" customFormat="1" ht="12.75">
      <c r="A53" s="175"/>
      <c r="B53" s="158"/>
      <c r="C53" s="167"/>
      <c r="D53" s="167"/>
      <c r="E53" s="167"/>
      <c r="F53" s="168"/>
    </row>
    <row r="54" spans="1:6" s="166" customFormat="1" ht="12.75">
      <c r="A54" s="175"/>
      <c r="B54" s="158"/>
      <c r="C54" s="167"/>
      <c r="D54" s="167"/>
      <c r="E54" s="167"/>
      <c r="F54" s="168"/>
    </row>
    <row r="55" spans="1:6" s="166" customFormat="1" ht="12.75">
      <c r="A55" s="175"/>
      <c r="B55" s="158"/>
      <c r="C55" s="167"/>
      <c r="D55" s="167"/>
      <c r="E55" s="167"/>
      <c r="F55" s="168"/>
    </row>
  </sheetData>
  <printOptions/>
  <pageMargins left="0.75" right="0.75" top="1" bottom="1" header="0.4921259845" footer="0.492125984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90"/>
  <sheetViews>
    <sheetView zoomScale="86" zoomScaleNormal="86" workbookViewId="0" topLeftCell="B1">
      <selection activeCell="F22" sqref="F22"/>
    </sheetView>
  </sheetViews>
  <sheetFormatPr defaultColWidth="9.00390625" defaultRowHeight="14.25"/>
  <cols>
    <col min="1" max="1" width="31.375" style="177" customWidth="1"/>
    <col min="2" max="2" width="65.50390625" style="159" customWidth="1"/>
    <col min="3" max="3" width="12.875" style="160" customWidth="1"/>
    <col min="4" max="4" width="10.00390625" style="160" customWidth="1"/>
    <col min="5" max="5" width="11.125" style="160" customWidth="1"/>
    <col min="6" max="6" width="10.00390625" style="205" customWidth="1"/>
    <col min="7" max="16384" width="10.00390625" style="157" customWidth="1"/>
  </cols>
  <sheetData>
    <row r="1" spans="1:6" s="174" customFormat="1" ht="25.5">
      <c r="A1" s="199" t="s">
        <v>237</v>
      </c>
      <c r="B1" s="200" t="s">
        <v>250</v>
      </c>
      <c r="C1" s="200" t="s">
        <v>15</v>
      </c>
      <c r="D1" s="200" t="s">
        <v>247</v>
      </c>
      <c r="E1" s="200" t="s">
        <v>13</v>
      </c>
      <c r="F1" s="202" t="s">
        <v>14</v>
      </c>
    </row>
    <row r="2" spans="1:6" s="166" customFormat="1" ht="26.25" customHeight="1">
      <c r="A2" s="254" t="s">
        <v>262</v>
      </c>
      <c r="B2" s="254"/>
      <c r="C2" s="254"/>
      <c r="D2" s="254"/>
      <c r="E2" s="254"/>
      <c r="F2" s="254"/>
    </row>
    <row r="3" spans="1:6" s="166" customFormat="1" ht="12.75">
      <c r="A3" s="175" t="s">
        <v>143</v>
      </c>
      <c r="B3" s="158" t="s">
        <v>16</v>
      </c>
      <c r="C3" s="167" t="s">
        <v>251</v>
      </c>
      <c r="D3" s="167" t="s">
        <v>210</v>
      </c>
      <c r="E3" s="167">
        <v>2.5</v>
      </c>
      <c r="F3" s="203">
        <v>1.5</v>
      </c>
    </row>
    <row r="4" spans="1:6" s="166" customFormat="1" ht="28.5">
      <c r="A4" s="175" t="s">
        <v>138</v>
      </c>
      <c r="B4" s="169" t="s">
        <v>17</v>
      </c>
      <c r="C4" s="167" t="s">
        <v>120</v>
      </c>
      <c r="D4" s="167" t="s">
        <v>212</v>
      </c>
      <c r="E4" s="167">
        <v>100</v>
      </c>
      <c r="F4" s="203">
        <v>46</v>
      </c>
    </row>
    <row r="5" spans="1:6" s="166" customFormat="1" ht="28.5">
      <c r="A5" s="175" t="s">
        <v>229</v>
      </c>
      <c r="B5" s="158" t="s">
        <v>18</v>
      </c>
      <c r="C5" s="167" t="s">
        <v>120</v>
      </c>
      <c r="D5" s="167" t="s">
        <v>212</v>
      </c>
      <c r="E5" s="167">
        <v>100</v>
      </c>
      <c r="F5" s="203">
        <v>80</v>
      </c>
    </row>
    <row r="6" spans="1:6" s="166" customFormat="1" ht="15.75">
      <c r="A6" s="175" t="s">
        <v>139</v>
      </c>
      <c r="B6" s="158" t="s">
        <v>19</v>
      </c>
      <c r="C6" s="167" t="s">
        <v>120</v>
      </c>
      <c r="D6" s="167" t="s">
        <v>212</v>
      </c>
      <c r="E6" s="167">
        <v>1000</v>
      </c>
      <c r="F6" s="203">
        <v>70</v>
      </c>
    </row>
    <row r="7" spans="1:6" s="166" customFormat="1" ht="15.75">
      <c r="A7" s="175" t="s">
        <v>223</v>
      </c>
      <c r="B7" s="158" t="s">
        <v>61</v>
      </c>
      <c r="C7" s="167" t="s">
        <v>251</v>
      </c>
      <c r="D7" s="167" t="s">
        <v>210</v>
      </c>
      <c r="E7" s="167">
        <v>2.5</v>
      </c>
      <c r="F7" s="203">
        <v>5</v>
      </c>
    </row>
    <row r="8" spans="1:6" s="166" customFormat="1" ht="15.75">
      <c r="A8" s="175" t="s">
        <v>141</v>
      </c>
      <c r="B8" s="158" t="s">
        <v>62</v>
      </c>
      <c r="C8" s="167" t="s">
        <v>251</v>
      </c>
      <c r="D8" s="167" t="s">
        <v>210</v>
      </c>
      <c r="E8" s="167">
        <v>2.5</v>
      </c>
      <c r="F8" s="203">
        <v>60</v>
      </c>
    </row>
    <row r="9" spans="1:6" s="166" customFormat="1" ht="12.75">
      <c r="A9" s="175" t="s">
        <v>142</v>
      </c>
      <c r="B9" s="158" t="s">
        <v>20</v>
      </c>
      <c r="C9" s="167" t="s">
        <v>251</v>
      </c>
      <c r="D9" s="167" t="s">
        <v>210</v>
      </c>
      <c r="E9" s="167">
        <v>2.5</v>
      </c>
      <c r="F9" s="203">
        <v>20</v>
      </c>
    </row>
    <row r="10" spans="1:6" s="166" customFormat="1" ht="12.75" customHeight="1">
      <c r="A10" s="254" t="s">
        <v>252</v>
      </c>
      <c r="B10" s="254"/>
      <c r="C10" s="254"/>
      <c r="D10" s="254"/>
      <c r="E10" s="254"/>
      <c r="F10" s="254"/>
    </row>
    <row r="11" spans="1:6" s="166" customFormat="1" ht="25.5">
      <c r="A11" s="175" t="s">
        <v>123</v>
      </c>
      <c r="B11" s="158" t="s">
        <v>22</v>
      </c>
      <c r="C11" s="167" t="s">
        <v>120</v>
      </c>
      <c r="D11" s="167" t="s">
        <v>212</v>
      </c>
      <c r="E11" s="167">
        <v>50</v>
      </c>
      <c r="F11" s="203">
        <v>24</v>
      </c>
    </row>
    <row r="12" spans="1:6" s="166" customFormat="1" ht="28.5">
      <c r="A12" s="175" t="s">
        <v>140</v>
      </c>
      <c r="B12" s="158" t="s">
        <v>21</v>
      </c>
      <c r="C12" s="167" t="s">
        <v>120</v>
      </c>
      <c r="D12" s="167" t="s">
        <v>212</v>
      </c>
      <c r="E12" s="167">
        <v>250</v>
      </c>
      <c r="F12" s="203">
        <v>70</v>
      </c>
    </row>
    <row r="13" spans="1:6" s="166" customFormat="1" ht="12.75">
      <c r="A13" s="175"/>
      <c r="B13" s="158" t="s">
        <v>253</v>
      </c>
      <c r="C13" s="167"/>
      <c r="D13" s="167"/>
      <c r="E13" s="167"/>
      <c r="F13" s="203"/>
    </row>
    <row r="14" spans="1:6" s="166" customFormat="1" ht="12.75">
      <c r="A14" s="175"/>
      <c r="B14" s="158" t="s">
        <v>254</v>
      </c>
      <c r="C14" s="167"/>
      <c r="D14" s="167"/>
      <c r="E14" s="167"/>
      <c r="F14" s="203"/>
    </row>
    <row r="15" spans="1:6" s="166" customFormat="1" ht="12.75">
      <c r="A15" s="175"/>
      <c r="B15" s="158" t="s">
        <v>255</v>
      </c>
      <c r="C15" s="167"/>
      <c r="D15" s="167"/>
      <c r="E15" s="167"/>
      <c r="F15" s="203"/>
    </row>
    <row r="16" spans="1:6" s="166" customFormat="1" ht="12.75" customHeight="1">
      <c r="A16" s="254" t="s">
        <v>263</v>
      </c>
      <c r="B16" s="254"/>
      <c r="C16" s="254"/>
      <c r="D16" s="254"/>
      <c r="E16" s="254"/>
      <c r="F16" s="254"/>
    </row>
    <row r="17" spans="1:6" s="166" customFormat="1" ht="12.75">
      <c r="A17" s="176" t="s">
        <v>69</v>
      </c>
      <c r="B17" s="170" t="s">
        <v>26</v>
      </c>
      <c r="C17" s="162" t="s">
        <v>24</v>
      </c>
      <c r="D17" s="162" t="s">
        <v>256</v>
      </c>
      <c r="E17" s="162">
        <v>1000</v>
      </c>
      <c r="F17" s="204">
        <v>2.25</v>
      </c>
    </row>
    <row r="18" spans="1:6" s="166" customFormat="1" ht="54">
      <c r="A18" s="175" t="s">
        <v>137</v>
      </c>
      <c r="B18" s="155" t="s">
        <v>25</v>
      </c>
      <c r="C18" s="162" t="s">
        <v>24</v>
      </c>
      <c r="D18" s="162" t="s">
        <v>256</v>
      </c>
      <c r="E18" s="162">
        <v>50</v>
      </c>
      <c r="F18" s="204">
        <v>2</v>
      </c>
    </row>
    <row r="19" spans="1:6" s="166" customFormat="1" ht="25.5">
      <c r="A19" s="175" t="s">
        <v>137</v>
      </c>
      <c r="B19" s="163" t="s">
        <v>11</v>
      </c>
      <c r="C19" s="162" t="s">
        <v>24</v>
      </c>
      <c r="D19" s="162" t="s">
        <v>256</v>
      </c>
      <c r="E19" s="162">
        <v>50</v>
      </c>
      <c r="F19" s="204">
        <v>2.45</v>
      </c>
    </row>
    <row r="20" spans="1:6" s="166" customFormat="1" ht="25.5">
      <c r="A20" s="175" t="s">
        <v>137</v>
      </c>
      <c r="B20" s="163" t="s">
        <v>12</v>
      </c>
      <c r="C20" s="162" t="s">
        <v>24</v>
      </c>
      <c r="D20" s="162" t="s">
        <v>256</v>
      </c>
      <c r="E20" s="162">
        <v>50</v>
      </c>
      <c r="F20" s="204">
        <v>3.3</v>
      </c>
    </row>
    <row r="21" spans="1:6" s="166" customFormat="1" ht="12.75">
      <c r="A21" s="166" t="s">
        <v>151</v>
      </c>
      <c r="B21" s="156" t="s">
        <v>23</v>
      </c>
      <c r="C21" s="162" t="s">
        <v>24</v>
      </c>
      <c r="D21" s="162" t="s">
        <v>256</v>
      </c>
      <c r="E21" s="162">
        <v>10</v>
      </c>
      <c r="F21" s="204">
        <v>200</v>
      </c>
    </row>
    <row r="22" spans="1:6" s="166" customFormat="1" ht="38.25">
      <c r="A22" s="175" t="s">
        <v>60</v>
      </c>
      <c r="B22" s="163" t="s">
        <v>264</v>
      </c>
      <c r="C22" s="162" t="s">
        <v>24</v>
      </c>
      <c r="D22" s="162" t="s">
        <v>208</v>
      </c>
      <c r="E22" s="162">
        <v>1000</v>
      </c>
      <c r="F22" s="204">
        <v>8</v>
      </c>
    </row>
    <row r="23" spans="1:6" s="166" customFormat="1" ht="25.5">
      <c r="A23" s="175" t="s">
        <v>144</v>
      </c>
      <c r="B23" s="163" t="s">
        <v>27</v>
      </c>
      <c r="C23" s="162" t="s">
        <v>118</v>
      </c>
      <c r="D23" s="167" t="s">
        <v>210</v>
      </c>
      <c r="E23" s="162">
        <v>100</v>
      </c>
      <c r="F23" s="204">
        <v>30</v>
      </c>
    </row>
    <row r="24" spans="1:6" s="166" customFormat="1" ht="12.75">
      <c r="A24" s="175" t="s">
        <v>145</v>
      </c>
      <c r="B24" s="163" t="s">
        <v>270</v>
      </c>
      <c r="C24" s="167" t="s">
        <v>251</v>
      </c>
      <c r="D24" s="167" t="s">
        <v>210</v>
      </c>
      <c r="E24" s="162">
        <v>2.5</v>
      </c>
      <c r="F24" s="204">
        <v>60</v>
      </c>
    </row>
    <row r="25" spans="1:6" s="166" customFormat="1" ht="12.75">
      <c r="A25" s="175" t="s">
        <v>146</v>
      </c>
      <c r="B25" s="163" t="s">
        <v>63</v>
      </c>
      <c r="C25" s="162" t="s">
        <v>260</v>
      </c>
      <c r="D25" s="167" t="s">
        <v>211</v>
      </c>
      <c r="E25" s="162">
        <v>0.5</v>
      </c>
      <c r="F25" s="204"/>
    </row>
    <row r="26" spans="1:6" s="166" customFormat="1" ht="25.5">
      <c r="A26" s="176" t="s">
        <v>68</v>
      </c>
      <c r="B26" s="163" t="s">
        <v>28</v>
      </c>
      <c r="C26" s="162" t="s">
        <v>29</v>
      </c>
      <c r="D26" s="162" t="s">
        <v>256</v>
      </c>
      <c r="E26" s="162">
        <v>500</v>
      </c>
      <c r="F26" s="204">
        <v>27</v>
      </c>
    </row>
    <row r="27" spans="1:6" s="166" customFormat="1" ht="25.5">
      <c r="A27" s="175" t="s">
        <v>103</v>
      </c>
      <c r="B27" s="163" t="s">
        <v>30</v>
      </c>
      <c r="C27" s="162" t="s">
        <v>31</v>
      </c>
      <c r="D27" s="162" t="s">
        <v>209</v>
      </c>
      <c r="E27" s="162">
        <v>100</v>
      </c>
      <c r="F27" s="204">
        <v>10</v>
      </c>
    </row>
    <row r="28" spans="1:6" s="166" customFormat="1" ht="25.5">
      <c r="A28" s="175" t="s">
        <v>104</v>
      </c>
      <c r="B28" s="163" t="s">
        <v>32</v>
      </c>
      <c r="C28" s="162" t="s">
        <v>31</v>
      </c>
      <c r="D28" s="162" t="s">
        <v>209</v>
      </c>
      <c r="E28" s="162">
        <v>100</v>
      </c>
      <c r="F28" s="204">
        <v>10</v>
      </c>
    </row>
    <row r="29" spans="1:6" s="166" customFormat="1" ht="25.5">
      <c r="A29" s="175" t="s">
        <v>105</v>
      </c>
      <c r="B29" s="163" t="s">
        <v>33</v>
      </c>
      <c r="C29" s="162" t="s">
        <v>31</v>
      </c>
      <c r="D29" s="162" t="s">
        <v>209</v>
      </c>
      <c r="E29" s="162">
        <v>100</v>
      </c>
      <c r="F29" s="204">
        <v>10</v>
      </c>
    </row>
    <row r="30" spans="1:6" s="166" customFormat="1" ht="12.75">
      <c r="A30" s="176" t="s">
        <v>65</v>
      </c>
      <c r="B30" s="156" t="s">
        <v>258</v>
      </c>
      <c r="C30" s="162" t="s">
        <v>34</v>
      </c>
      <c r="D30" s="162" t="s">
        <v>256</v>
      </c>
      <c r="E30" s="164">
        <v>500</v>
      </c>
      <c r="F30" s="204" t="s">
        <v>257</v>
      </c>
    </row>
    <row r="31" spans="1:6" s="166" customFormat="1" ht="12.75">
      <c r="A31" s="176" t="s">
        <v>66</v>
      </c>
      <c r="B31" s="163" t="s">
        <v>259</v>
      </c>
      <c r="C31" s="162" t="s">
        <v>34</v>
      </c>
      <c r="D31" s="162" t="s">
        <v>256</v>
      </c>
      <c r="E31" s="164">
        <v>500</v>
      </c>
      <c r="F31" s="204" t="s">
        <v>257</v>
      </c>
    </row>
    <row r="32" spans="1:6" s="166" customFormat="1" ht="12.75">
      <c r="A32" s="176" t="s">
        <v>67</v>
      </c>
      <c r="B32" s="163" t="s">
        <v>36</v>
      </c>
      <c r="C32" s="162" t="s">
        <v>35</v>
      </c>
      <c r="D32" s="162" t="s">
        <v>256</v>
      </c>
      <c r="E32" s="162">
        <v>10</v>
      </c>
      <c r="F32" s="204" t="s">
        <v>257</v>
      </c>
    </row>
    <row r="33" spans="1:6" s="166" customFormat="1" ht="25.5">
      <c r="A33" s="176" t="s">
        <v>75</v>
      </c>
      <c r="B33" s="163" t="s">
        <v>109</v>
      </c>
      <c r="C33" s="162" t="s">
        <v>24</v>
      </c>
      <c r="D33" s="162" t="s">
        <v>209</v>
      </c>
      <c r="E33" s="162">
        <v>100</v>
      </c>
      <c r="F33" s="204">
        <v>3</v>
      </c>
    </row>
    <row r="34" spans="1:6" s="166" customFormat="1" ht="25.5">
      <c r="A34" s="176" t="s">
        <v>75</v>
      </c>
      <c r="B34" s="163" t="s">
        <v>108</v>
      </c>
      <c r="C34" s="162" t="s">
        <v>24</v>
      </c>
      <c r="D34" s="162" t="s">
        <v>209</v>
      </c>
      <c r="E34" s="162">
        <v>100</v>
      </c>
      <c r="F34" s="204">
        <v>3.3</v>
      </c>
    </row>
    <row r="35" spans="1:6" s="166" customFormat="1" ht="25.5">
      <c r="A35" s="176" t="s">
        <v>75</v>
      </c>
      <c r="B35" s="163" t="s">
        <v>107</v>
      </c>
      <c r="C35" s="162" t="s">
        <v>24</v>
      </c>
      <c r="D35" s="162" t="s">
        <v>209</v>
      </c>
      <c r="E35" s="162">
        <v>100</v>
      </c>
      <c r="F35" s="204">
        <v>6.4</v>
      </c>
    </row>
    <row r="36" spans="1:6" s="166" customFormat="1" ht="25.5">
      <c r="A36" s="166" t="s">
        <v>152</v>
      </c>
      <c r="B36" s="163" t="s">
        <v>37</v>
      </c>
      <c r="C36" s="162" t="s">
        <v>126</v>
      </c>
      <c r="D36" s="162" t="s">
        <v>212</v>
      </c>
      <c r="E36" s="162">
        <v>5</v>
      </c>
      <c r="F36" s="204" t="s">
        <v>10</v>
      </c>
    </row>
    <row r="37" spans="1:6" s="166" customFormat="1" ht="12.75" customHeight="1">
      <c r="A37" s="254" t="s">
        <v>261</v>
      </c>
      <c r="B37" s="254"/>
      <c r="C37" s="254"/>
      <c r="D37" s="254"/>
      <c r="E37" s="254"/>
      <c r="F37" s="254"/>
    </row>
    <row r="38" spans="1:6" s="166" customFormat="1" ht="12.75">
      <c r="A38" s="176" t="s">
        <v>76</v>
      </c>
      <c r="B38" s="171" t="s">
        <v>265</v>
      </c>
      <c r="C38" s="162" t="s">
        <v>24</v>
      </c>
      <c r="D38" s="162" t="s">
        <v>24</v>
      </c>
      <c r="E38" s="162">
        <v>1</v>
      </c>
      <c r="F38" s="204">
        <v>1200</v>
      </c>
    </row>
    <row r="39" spans="1:6" s="166" customFormat="1" ht="12.75">
      <c r="A39" s="176" t="s">
        <v>77</v>
      </c>
      <c r="B39" s="171" t="s">
        <v>38</v>
      </c>
      <c r="C39" s="162" t="s">
        <v>24</v>
      </c>
      <c r="D39" s="162" t="s">
        <v>24</v>
      </c>
      <c r="E39" s="162">
        <v>1</v>
      </c>
      <c r="F39" s="204">
        <v>1250</v>
      </c>
    </row>
    <row r="40" spans="1:6" s="166" customFormat="1" ht="12.75">
      <c r="A40" s="176" t="s">
        <v>86</v>
      </c>
      <c r="B40" s="171" t="s">
        <v>78</v>
      </c>
      <c r="C40" s="162" t="s">
        <v>24</v>
      </c>
      <c r="D40" s="162" t="s">
        <v>24</v>
      </c>
      <c r="E40" s="162">
        <v>1</v>
      </c>
      <c r="F40" s="204">
        <v>25</v>
      </c>
    </row>
    <row r="41" spans="1:6" s="166" customFormat="1" ht="12.75">
      <c r="A41" s="176" t="s">
        <v>87</v>
      </c>
      <c r="B41" s="171" t="s">
        <v>83</v>
      </c>
      <c r="C41" s="162" t="s">
        <v>24</v>
      </c>
      <c r="D41" s="162" t="s">
        <v>24</v>
      </c>
      <c r="E41" s="162">
        <v>1</v>
      </c>
      <c r="F41" s="204">
        <v>6</v>
      </c>
    </row>
    <row r="42" spans="1:6" s="166" customFormat="1" ht="25.5">
      <c r="A42" s="176" t="s">
        <v>84</v>
      </c>
      <c r="B42" s="171" t="s">
        <v>88</v>
      </c>
      <c r="C42" s="162" t="s">
        <v>24</v>
      </c>
      <c r="D42" s="162" t="s">
        <v>24</v>
      </c>
      <c r="E42" s="162">
        <v>1</v>
      </c>
      <c r="F42" s="204">
        <v>150</v>
      </c>
    </row>
    <row r="43" spans="1:6" s="166" customFormat="1" ht="12.75">
      <c r="A43" s="176" t="s">
        <v>85</v>
      </c>
      <c r="B43" s="171" t="s">
        <v>89</v>
      </c>
      <c r="C43" s="162" t="s">
        <v>24</v>
      </c>
      <c r="D43" s="162" t="s">
        <v>24</v>
      </c>
      <c r="E43" s="162">
        <v>1</v>
      </c>
      <c r="F43" s="204">
        <v>25</v>
      </c>
    </row>
    <row r="44" spans="1:6" s="166" customFormat="1" ht="38.25">
      <c r="A44" s="176" t="s">
        <v>71</v>
      </c>
      <c r="B44" s="172" t="s">
        <v>39</v>
      </c>
      <c r="C44" s="162" t="s">
        <v>24</v>
      </c>
      <c r="D44" s="162" t="s">
        <v>24</v>
      </c>
      <c r="E44" s="162">
        <v>1</v>
      </c>
      <c r="F44" s="204">
        <v>22</v>
      </c>
    </row>
    <row r="45" spans="1:6" s="166" customFormat="1" ht="38.25">
      <c r="A45" s="176" t="s">
        <v>72</v>
      </c>
      <c r="B45" s="171" t="s">
        <v>40</v>
      </c>
      <c r="C45" s="164" t="s">
        <v>206</v>
      </c>
      <c r="D45" s="164" t="s">
        <v>211</v>
      </c>
      <c r="E45" s="165">
        <v>5</v>
      </c>
      <c r="F45" s="204" t="s">
        <v>266</v>
      </c>
    </row>
    <row r="46" spans="1:6" s="166" customFormat="1" ht="51">
      <c r="A46" s="176" t="s">
        <v>73</v>
      </c>
      <c r="B46" s="173" t="s">
        <v>267</v>
      </c>
      <c r="C46" s="162" t="s">
        <v>24</v>
      </c>
      <c r="D46" s="162" t="s">
        <v>24</v>
      </c>
      <c r="E46" s="162">
        <v>1</v>
      </c>
      <c r="F46" s="204" t="s">
        <v>10</v>
      </c>
    </row>
    <row r="47" spans="1:6" s="166" customFormat="1" ht="12.75">
      <c r="A47" s="176" t="s">
        <v>74</v>
      </c>
      <c r="B47" s="171" t="s">
        <v>41</v>
      </c>
      <c r="C47" s="162" t="s">
        <v>24</v>
      </c>
      <c r="D47" s="162" t="s">
        <v>24</v>
      </c>
      <c r="E47" s="162">
        <v>1</v>
      </c>
      <c r="F47" s="204">
        <v>25</v>
      </c>
    </row>
    <row r="48" spans="1:6" s="166" customFormat="1" ht="25.5">
      <c r="A48" s="166" t="s">
        <v>150</v>
      </c>
      <c r="B48" s="171" t="s">
        <v>42</v>
      </c>
      <c r="C48" s="162" t="s">
        <v>24</v>
      </c>
      <c r="D48" s="162" t="s">
        <v>24</v>
      </c>
      <c r="E48" s="162">
        <v>1</v>
      </c>
      <c r="F48" s="204">
        <v>19</v>
      </c>
    </row>
    <row r="49" spans="1:6" s="166" customFormat="1" ht="25.5">
      <c r="A49" s="166" t="s">
        <v>148</v>
      </c>
      <c r="B49" s="171" t="s">
        <v>43</v>
      </c>
      <c r="C49" s="162" t="s">
        <v>24</v>
      </c>
      <c r="D49" s="162" t="s">
        <v>256</v>
      </c>
      <c r="E49" s="162">
        <v>10</v>
      </c>
      <c r="F49" s="204">
        <v>7.2</v>
      </c>
    </row>
    <row r="50" spans="1:6" s="166" customFormat="1" ht="12.75">
      <c r="A50" s="166" t="s">
        <v>70</v>
      </c>
      <c r="B50" s="171" t="s">
        <v>44</v>
      </c>
      <c r="C50" s="162" t="s">
        <v>24</v>
      </c>
      <c r="D50" s="162" t="s">
        <v>256</v>
      </c>
      <c r="E50" s="162">
        <v>10</v>
      </c>
      <c r="F50" s="204">
        <v>4.7</v>
      </c>
    </row>
    <row r="51" spans="1:6" s="166" customFormat="1" ht="25.5">
      <c r="A51" s="175" t="s">
        <v>147</v>
      </c>
      <c r="B51" s="171" t="s">
        <v>45</v>
      </c>
      <c r="C51" s="162" t="s">
        <v>46</v>
      </c>
      <c r="D51" s="162" t="s">
        <v>211</v>
      </c>
      <c r="E51" s="162">
        <v>10</v>
      </c>
      <c r="F51" s="204">
        <v>0.9</v>
      </c>
    </row>
    <row r="52" spans="1:6" s="166" customFormat="1" ht="25.5">
      <c r="A52" s="176" t="s">
        <v>82</v>
      </c>
      <c r="B52" s="163" t="s">
        <v>47</v>
      </c>
      <c r="C52" s="162" t="s">
        <v>24</v>
      </c>
      <c r="D52" s="162" t="s">
        <v>24</v>
      </c>
      <c r="E52" s="162">
        <v>1</v>
      </c>
      <c r="F52" s="204">
        <v>25</v>
      </c>
    </row>
    <row r="53" spans="1:6" s="166" customFormat="1" ht="25.5">
      <c r="A53" s="176" t="s">
        <v>81</v>
      </c>
      <c r="B53" s="173" t="s">
        <v>48</v>
      </c>
      <c r="C53" s="162" t="s">
        <v>24</v>
      </c>
      <c r="D53" s="162" t="s">
        <v>24</v>
      </c>
      <c r="E53" s="162">
        <v>1</v>
      </c>
      <c r="F53" s="204">
        <v>3.25</v>
      </c>
    </row>
    <row r="54" spans="1:6" s="166" customFormat="1" ht="12.75">
      <c r="A54" s="176" t="s">
        <v>79</v>
      </c>
      <c r="B54" s="173" t="s">
        <v>49</v>
      </c>
      <c r="C54" s="162" t="s">
        <v>24</v>
      </c>
      <c r="D54" s="162" t="s">
        <v>24</v>
      </c>
      <c r="E54" s="162">
        <v>1</v>
      </c>
      <c r="F54" s="204">
        <v>4.65</v>
      </c>
    </row>
    <row r="55" spans="1:6" s="166" customFormat="1" ht="25.5">
      <c r="A55" s="176" t="s">
        <v>80</v>
      </c>
      <c r="B55" s="171" t="s">
        <v>268</v>
      </c>
      <c r="C55" s="162" t="s">
        <v>24</v>
      </c>
      <c r="D55" s="162" t="s">
        <v>256</v>
      </c>
      <c r="E55" s="162">
        <v>10</v>
      </c>
      <c r="F55" s="204">
        <v>10</v>
      </c>
    </row>
    <row r="56" spans="1:6" s="166" customFormat="1" ht="12.75">
      <c r="A56" s="176" t="s">
        <v>64</v>
      </c>
      <c r="B56" s="171" t="s">
        <v>0</v>
      </c>
      <c r="C56" s="162" t="s">
        <v>24</v>
      </c>
      <c r="D56" s="162" t="s">
        <v>256</v>
      </c>
      <c r="E56" s="162">
        <v>10</v>
      </c>
      <c r="F56" s="204">
        <v>5.5</v>
      </c>
    </row>
    <row r="57" spans="1:6" s="166" customFormat="1" ht="25.5">
      <c r="A57" s="176" t="s">
        <v>90</v>
      </c>
      <c r="B57" s="163" t="s">
        <v>1</v>
      </c>
      <c r="C57" s="162" t="s">
        <v>24</v>
      </c>
      <c r="D57" s="162" t="s">
        <v>24</v>
      </c>
      <c r="E57" s="162">
        <v>1</v>
      </c>
      <c r="F57" s="204" t="s">
        <v>2</v>
      </c>
    </row>
    <row r="58" spans="1:6" s="166" customFormat="1" ht="25.5">
      <c r="A58" s="166" t="s">
        <v>149</v>
      </c>
      <c r="B58" s="156" t="s">
        <v>50</v>
      </c>
      <c r="C58" s="162" t="s">
        <v>24</v>
      </c>
      <c r="D58" s="162" t="s">
        <v>256</v>
      </c>
      <c r="E58" s="162">
        <v>10</v>
      </c>
      <c r="F58" s="204">
        <v>8</v>
      </c>
    </row>
    <row r="59" spans="1:6" s="166" customFormat="1" ht="12.75">
      <c r="A59" s="166" t="s">
        <v>153</v>
      </c>
      <c r="B59" s="163" t="s">
        <v>51</v>
      </c>
      <c r="C59" s="162" t="s">
        <v>24</v>
      </c>
      <c r="D59" s="162" t="s">
        <v>24</v>
      </c>
      <c r="E59" s="162">
        <v>1</v>
      </c>
      <c r="F59" s="204">
        <v>30</v>
      </c>
    </row>
    <row r="60" spans="1:6" s="166" customFormat="1" ht="25.5">
      <c r="A60" s="176" t="s">
        <v>91</v>
      </c>
      <c r="B60" s="171" t="s">
        <v>3</v>
      </c>
      <c r="C60" s="162" t="s">
        <v>24</v>
      </c>
      <c r="D60" s="162" t="s">
        <v>209</v>
      </c>
      <c r="E60" s="162">
        <v>10</v>
      </c>
      <c r="F60" s="204">
        <v>2</v>
      </c>
    </row>
    <row r="61" spans="1:6" s="166" customFormat="1" ht="25.5">
      <c r="A61" s="176" t="s">
        <v>92</v>
      </c>
      <c r="B61" s="173" t="s">
        <v>52</v>
      </c>
      <c r="C61" s="162" t="s">
        <v>24</v>
      </c>
      <c r="D61" s="162" t="s">
        <v>209</v>
      </c>
      <c r="E61" s="162">
        <v>4800</v>
      </c>
      <c r="F61" s="204">
        <v>46</v>
      </c>
    </row>
    <row r="62" spans="1:6" s="166" customFormat="1" ht="38.25">
      <c r="A62" s="166" t="s">
        <v>93</v>
      </c>
      <c r="B62" s="171" t="s">
        <v>53</v>
      </c>
      <c r="C62" s="162" t="s">
        <v>24</v>
      </c>
      <c r="D62" s="162" t="s">
        <v>208</v>
      </c>
      <c r="E62" s="162">
        <v>10</v>
      </c>
      <c r="F62" s="204">
        <v>30.6</v>
      </c>
    </row>
    <row r="63" spans="1:6" s="166" customFormat="1" ht="25.5">
      <c r="A63" s="166" t="s">
        <v>110</v>
      </c>
      <c r="B63" s="171" t="s">
        <v>96</v>
      </c>
      <c r="C63" s="162" t="s">
        <v>24</v>
      </c>
      <c r="D63" s="162" t="s">
        <v>24</v>
      </c>
      <c r="E63" s="162">
        <v>1</v>
      </c>
      <c r="F63" s="204" t="s">
        <v>10</v>
      </c>
    </row>
    <row r="64" spans="1:6" s="166" customFormat="1" ht="25.5">
      <c r="A64" s="176" t="s">
        <v>94</v>
      </c>
      <c r="B64" s="171" t="s">
        <v>54</v>
      </c>
      <c r="C64" s="162" t="s">
        <v>24</v>
      </c>
      <c r="D64" s="162" t="s">
        <v>256</v>
      </c>
      <c r="E64" s="162">
        <v>10</v>
      </c>
      <c r="F64" s="204">
        <v>4</v>
      </c>
    </row>
    <row r="65" spans="1:6" s="166" customFormat="1" ht="12.75">
      <c r="A65" s="176" t="s">
        <v>95</v>
      </c>
      <c r="B65" s="171" t="s">
        <v>4</v>
      </c>
      <c r="C65" s="162" t="s">
        <v>24</v>
      </c>
      <c r="D65" s="162" t="s">
        <v>256</v>
      </c>
      <c r="E65" s="162">
        <v>10</v>
      </c>
      <c r="F65" s="204">
        <v>3</v>
      </c>
    </row>
    <row r="66" spans="1:6" s="166" customFormat="1" ht="12.75">
      <c r="A66" s="176" t="s">
        <v>97</v>
      </c>
      <c r="B66" s="171" t="s">
        <v>5</v>
      </c>
      <c r="C66" s="162" t="s">
        <v>24</v>
      </c>
      <c r="D66" s="162" t="s">
        <v>256</v>
      </c>
      <c r="E66" s="162">
        <v>10</v>
      </c>
      <c r="F66" s="204">
        <v>2.1</v>
      </c>
    </row>
    <row r="67" spans="1:6" s="166" customFormat="1" ht="25.5">
      <c r="A67" s="176" t="s">
        <v>97</v>
      </c>
      <c r="B67" s="171" t="s">
        <v>6</v>
      </c>
      <c r="C67" s="162" t="s">
        <v>24</v>
      </c>
      <c r="D67" s="162" t="s">
        <v>256</v>
      </c>
      <c r="E67" s="162">
        <v>10</v>
      </c>
      <c r="F67" s="204">
        <v>3.1</v>
      </c>
    </row>
    <row r="68" spans="1:6" s="166" customFormat="1" ht="38.25">
      <c r="A68" s="176" t="s">
        <v>97</v>
      </c>
      <c r="B68" s="171" t="s">
        <v>55</v>
      </c>
      <c r="C68" s="162" t="s">
        <v>24</v>
      </c>
      <c r="D68" s="162" t="s">
        <v>256</v>
      </c>
      <c r="E68" s="162">
        <v>10</v>
      </c>
      <c r="F68" s="204">
        <v>8.25</v>
      </c>
    </row>
    <row r="69" spans="1:6" s="166" customFormat="1" ht="38.25">
      <c r="A69" s="176" t="s">
        <v>97</v>
      </c>
      <c r="B69" s="171" t="s">
        <v>56</v>
      </c>
      <c r="C69" s="162" t="s">
        <v>24</v>
      </c>
      <c r="D69" s="162" t="s">
        <v>256</v>
      </c>
      <c r="E69" s="162">
        <v>10</v>
      </c>
      <c r="F69" s="204">
        <v>12.5</v>
      </c>
    </row>
    <row r="70" spans="1:6" s="166" customFormat="1" ht="25.5">
      <c r="A70" s="176" t="s">
        <v>98</v>
      </c>
      <c r="B70" s="171" t="s">
        <v>7</v>
      </c>
      <c r="C70" s="162" t="s">
        <v>24</v>
      </c>
      <c r="D70" s="162" t="s">
        <v>256</v>
      </c>
      <c r="E70" s="162">
        <v>10</v>
      </c>
      <c r="F70" s="204">
        <v>6.1</v>
      </c>
    </row>
    <row r="71" spans="1:6" s="166" customFormat="1" ht="12.75">
      <c r="A71" s="176" t="s">
        <v>98</v>
      </c>
      <c r="B71" s="171" t="s">
        <v>8</v>
      </c>
      <c r="C71" s="162" t="s">
        <v>24</v>
      </c>
      <c r="D71" s="162" t="s">
        <v>256</v>
      </c>
      <c r="E71" s="162">
        <v>10</v>
      </c>
      <c r="F71" s="204">
        <v>1</v>
      </c>
    </row>
    <row r="72" spans="1:6" s="166" customFormat="1" ht="25.5">
      <c r="A72" s="176" t="s">
        <v>99</v>
      </c>
      <c r="B72" s="171" t="s">
        <v>9</v>
      </c>
      <c r="C72" s="162" t="s">
        <v>24</v>
      </c>
      <c r="D72" s="162" t="s">
        <v>24</v>
      </c>
      <c r="E72" s="162">
        <v>1</v>
      </c>
      <c r="F72" s="204" t="s">
        <v>10</v>
      </c>
    </row>
    <row r="73" spans="1:6" s="166" customFormat="1" ht="12.75">
      <c r="A73" s="176" t="s">
        <v>100</v>
      </c>
      <c r="B73" s="171" t="s">
        <v>57</v>
      </c>
      <c r="C73" s="162" t="s">
        <v>24</v>
      </c>
      <c r="D73" s="162" t="s">
        <v>24</v>
      </c>
      <c r="E73" s="162">
        <v>1</v>
      </c>
      <c r="F73" s="204">
        <v>900</v>
      </c>
    </row>
    <row r="74" spans="1:6" s="166" customFormat="1" ht="12.75">
      <c r="A74" s="176" t="s">
        <v>101</v>
      </c>
      <c r="B74" s="156" t="s">
        <v>59</v>
      </c>
      <c r="C74" s="162" t="s">
        <v>24</v>
      </c>
      <c r="D74" s="162" t="s">
        <v>24</v>
      </c>
      <c r="E74" s="162">
        <v>1</v>
      </c>
      <c r="F74" s="204">
        <v>60</v>
      </c>
    </row>
    <row r="75" spans="1:6" s="166" customFormat="1" ht="12.75">
      <c r="A75" s="176" t="s">
        <v>102</v>
      </c>
      <c r="B75" s="171" t="s">
        <v>58</v>
      </c>
      <c r="C75" s="162" t="s">
        <v>24</v>
      </c>
      <c r="D75" s="162" t="s">
        <v>24</v>
      </c>
      <c r="E75" s="162">
        <v>1</v>
      </c>
      <c r="F75" s="204">
        <v>750</v>
      </c>
    </row>
    <row r="76" spans="1:6" s="166" customFormat="1" ht="12.75">
      <c r="A76" s="176"/>
      <c r="B76" s="171"/>
      <c r="C76" s="162"/>
      <c r="D76" s="162"/>
      <c r="E76" s="162"/>
      <c r="F76" s="204"/>
    </row>
    <row r="77" spans="1:6" s="166" customFormat="1" ht="12.75">
      <c r="A77" s="176"/>
      <c r="B77" s="171"/>
      <c r="C77" s="162"/>
      <c r="D77" s="162"/>
      <c r="E77" s="162"/>
      <c r="F77" s="204"/>
    </row>
    <row r="78" spans="1:6" s="166" customFormat="1" ht="12.75">
      <c r="A78" s="175"/>
      <c r="B78" s="158"/>
      <c r="C78" s="167"/>
      <c r="D78" s="167"/>
      <c r="E78" s="167"/>
      <c r="F78" s="203"/>
    </row>
    <row r="79" spans="1:6" s="166" customFormat="1" ht="12.75">
      <c r="A79" s="175"/>
      <c r="B79" s="158"/>
      <c r="C79" s="167"/>
      <c r="D79" s="167"/>
      <c r="E79" s="167"/>
      <c r="F79" s="203"/>
    </row>
    <row r="80" spans="1:6" s="166" customFormat="1" ht="12.75">
      <c r="A80" s="175"/>
      <c r="B80" s="158"/>
      <c r="C80" s="167"/>
      <c r="D80" s="167"/>
      <c r="E80" s="167"/>
      <c r="F80" s="203"/>
    </row>
    <row r="81" spans="1:6" s="166" customFormat="1" ht="12.75">
      <c r="A81" s="175"/>
      <c r="B81" s="158"/>
      <c r="C81" s="167"/>
      <c r="D81" s="167"/>
      <c r="E81" s="167"/>
      <c r="F81" s="203"/>
    </row>
    <row r="82" spans="1:6" s="166" customFormat="1" ht="12.75">
      <c r="A82" s="175"/>
      <c r="B82" s="158"/>
      <c r="C82" s="167"/>
      <c r="D82" s="167"/>
      <c r="E82" s="167"/>
      <c r="F82" s="203"/>
    </row>
    <row r="83" spans="1:6" s="166" customFormat="1" ht="12.75">
      <c r="A83" s="175"/>
      <c r="B83" s="158"/>
      <c r="C83" s="167"/>
      <c r="D83" s="167"/>
      <c r="E83" s="167"/>
      <c r="F83" s="203"/>
    </row>
    <row r="84" spans="1:6" s="166" customFormat="1" ht="12.75">
      <c r="A84" s="175"/>
      <c r="B84" s="158"/>
      <c r="C84" s="167"/>
      <c r="D84" s="167"/>
      <c r="E84" s="167"/>
      <c r="F84" s="203"/>
    </row>
    <row r="85" spans="1:6" s="166" customFormat="1" ht="12.75">
      <c r="A85" s="175"/>
      <c r="B85" s="158"/>
      <c r="C85" s="167"/>
      <c r="D85" s="167"/>
      <c r="E85" s="167"/>
      <c r="F85" s="203"/>
    </row>
    <row r="86" spans="1:6" s="166" customFormat="1" ht="12.75">
      <c r="A86" s="175"/>
      <c r="B86" s="158"/>
      <c r="C86" s="167"/>
      <c r="D86" s="167"/>
      <c r="E86" s="167"/>
      <c r="F86" s="203"/>
    </row>
    <row r="87" spans="1:6" s="166" customFormat="1" ht="12.75">
      <c r="A87" s="175"/>
      <c r="B87" s="158"/>
      <c r="C87" s="167"/>
      <c r="D87" s="167"/>
      <c r="E87" s="167"/>
      <c r="F87" s="203"/>
    </row>
    <row r="88" spans="1:6" s="166" customFormat="1" ht="12.75">
      <c r="A88" s="175"/>
      <c r="B88" s="158"/>
      <c r="C88" s="167"/>
      <c r="D88" s="167"/>
      <c r="E88" s="167"/>
      <c r="F88" s="203"/>
    </row>
    <row r="89" spans="1:6" s="166" customFormat="1" ht="12.75">
      <c r="A89" s="175"/>
      <c r="B89" s="158"/>
      <c r="C89" s="167"/>
      <c r="D89" s="167"/>
      <c r="E89" s="167"/>
      <c r="F89" s="203"/>
    </row>
    <row r="90" spans="1:6" s="166" customFormat="1" ht="12.75">
      <c r="A90" s="175"/>
      <c r="B90" s="158"/>
      <c r="C90" s="167"/>
      <c r="D90" s="167"/>
      <c r="E90" s="167"/>
      <c r="F90" s="203"/>
    </row>
  </sheetData>
  <mergeCells count="4">
    <mergeCell ref="A2:F2"/>
    <mergeCell ref="A10:F10"/>
    <mergeCell ref="A16:F16"/>
    <mergeCell ref="A37:F37"/>
  </mergeCells>
  <printOptions/>
  <pageMargins left="0.75" right="0.75" top="1" bottom="1" header="0.4921259845" footer="0.492125984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T56"/>
  <sheetViews>
    <sheetView showGridLines="0" zoomScale="56" zoomScaleNormal="56" workbookViewId="0" topLeftCell="A1">
      <selection activeCell="I13" sqref="I13"/>
    </sheetView>
  </sheetViews>
  <sheetFormatPr defaultColWidth="9.00390625" defaultRowHeight="14.25"/>
  <cols>
    <col min="1" max="1" width="38.375" style="1" customWidth="1"/>
    <col min="2" max="2" width="8.875" style="1" customWidth="1"/>
    <col min="3" max="3" width="6.875" style="1" customWidth="1"/>
    <col min="4" max="4" width="16.00390625" style="1" customWidth="1"/>
    <col min="5" max="5" width="16.125" style="1" customWidth="1"/>
    <col min="6" max="6" width="14.50390625" style="1" customWidth="1"/>
    <col min="7" max="7" width="16.125" style="1" customWidth="1"/>
    <col min="8" max="8" width="15.125" style="1" customWidth="1"/>
    <col min="9" max="9" width="14.875" style="1" customWidth="1"/>
    <col min="10" max="10" width="14.625" style="1" customWidth="1"/>
    <col min="11" max="11" width="19.875" style="1" customWidth="1"/>
    <col min="12" max="12" width="12.75390625" style="1" customWidth="1"/>
    <col min="13" max="13" width="9.625" style="1" bestFit="1" customWidth="1"/>
    <col min="14" max="14" width="14.50390625" style="1" customWidth="1"/>
    <col min="15" max="16" width="9.00390625" style="1" customWidth="1"/>
    <col min="17" max="17" width="11.875" style="1" customWidth="1"/>
    <col min="18" max="18" width="10.625" style="1" customWidth="1"/>
    <col min="19" max="20" width="0" style="1" hidden="1" customWidth="1"/>
    <col min="21" max="16384" width="9.00390625" style="1" customWidth="1"/>
  </cols>
  <sheetData>
    <row r="1" spans="1:16" ht="23.25">
      <c r="A1" s="255" t="s">
        <v>127</v>
      </c>
      <c r="B1" s="255"/>
      <c r="C1" s="255"/>
      <c r="D1" s="255"/>
      <c r="E1" s="255"/>
      <c r="F1" s="255"/>
      <c r="G1" s="255"/>
      <c r="H1" s="255"/>
      <c r="I1" s="255"/>
      <c r="J1" s="255"/>
      <c r="K1" s="255"/>
      <c r="L1" s="255"/>
      <c r="M1" s="255"/>
      <c r="N1" s="255"/>
      <c r="O1" s="255"/>
      <c r="P1" s="255"/>
    </row>
    <row r="2" spans="5:6" ht="15">
      <c r="E2" s="2"/>
      <c r="F2" s="2"/>
    </row>
    <row r="3" spans="1:11" s="37" customFormat="1" ht="18">
      <c r="A3" s="37" t="s">
        <v>128</v>
      </c>
      <c r="B3" s="90"/>
      <c r="D3" s="91" t="s">
        <v>129</v>
      </c>
      <c r="E3" s="89"/>
      <c r="F3" s="57"/>
      <c r="G3" s="91" t="s">
        <v>130</v>
      </c>
      <c r="H3" s="89"/>
      <c r="I3" s="57"/>
      <c r="K3" s="38"/>
    </row>
    <row r="4" spans="2:7" s="3" customFormat="1" ht="16.5" thickBot="1">
      <c r="B4" s="5"/>
      <c r="E4" s="4"/>
      <c r="G4" s="4"/>
    </row>
    <row r="5" spans="2:13" s="3" customFormat="1" ht="30" customHeight="1" thickBot="1" thickTop="1">
      <c r="B5" s="6" t="s">
        <v>112</v>
      </c>
      <c r="C5" s="7"/>
      <c r="D5" s="7"/>
      <c r="E5" s="8"/>
      <c r="F5" s="7"/>
      <c r="G5" s="8"/>
      <c r="H5" s="93" t="s">
        <v>193</v>
      </c>
      <c r="I5" s="92">
        <f>'Variable data'!L5</f>
        <v>10000</v>
      </c>
      <c r="K5" s="9"/>
      <c r="L5" s="109" t="s">
        <v>196</v>
      </c>
      <c r="M5" s="110">
        <f>I5/'Variable data'!H5</f>
        <v>833.3333333333334</v>
      </c>
    </row>
    <row r="6" spans="2:13" s="3" customFormat="1" ht="30" customHeight="1" thickBot="1" thickTop="1">
      <c r="B6" s="6" t="s">
        <v>121</v>
      </c>
      <c r="C6" s="7"/>
      <c r="D6" s="7"/>
      <c r="E6" s="8"/>
      <c r="F6" s="7"/>
      <c r="G6" s="8"/>
      <c r="H6" s="93" t="s">
        <v>194</v>
      </c>
      <c r="I6" s="92">
        <f>'Variable data'!L6</f>
        <v>10000</v>
      </c>
      <c r="K6" s="9"/>
      <c r="L6" s="109" t="s">
        <v>195</v>
      </c>
      <c r="M6" s="110">
        <f>I6/'Variable data'!H6</f>
        <v>833.3333333333334</v>
      </c>
    </row>
    <row r="7" spans="2:13" ht="30" customHeight="1" thickBot="1" thickTop="1">
      <c r="B7" s="6" t="s">
        <v>124</v>
      </c>
      <c r="C7" s="7"/>
      <c r="D7" s="7"/>
      <c r="E7" s="8"/>
      <c r="F7" s="7"/>
      <c r="G7" s="8"/>
      <c r="H7" s="93" t="s">
        <v>131</v>
      </c>
      <c r="I7" s="92">
        <f>'Variable data'!L7</f>
        <v>10</v>
      </c>
      <c r="L7" s="109" t="s">
        <v>197</v>
      </c>
      <c r="M7" s="110">
        <f>M6+M5</f>
        <v>1666.6666666666667</v>
      </c>
    </row>
    <row r="8" spans="2:9" ht="16.5" thickBot="1">
      <c r="B8" s="4"/>
      <c r="C8" s="5"/>
      <c r="D8" s="5"/>
      <c r="E8" s="4"/>
      <c r="F8" s="5"/>
      <c r="G8" s="4"/>
      <c r="H8" s="44"/>
      <c r="I8" s="5"/>
    </row>
    <row r="9" spans="1:14" s="12" customFormat="1" ht="60" customHeight="1">
      <c r="A9" s="10" t="s">
        <v>114</v>
      </c>
      <c r="B9" s="256" t="s">
        <v>173</v>
      </c>
      <c r="C9" s="256"/>
      <c r="D9" s="69" t="s">
        <v>174</v>
      </c>
      <c r="E9" s="11" t="s">
        <v>183</v>
      </c>
      <c r="F9" s="11" t="s">
        <v>218</v>
      </c>
      <c r="G9" s="11" t="s">
        <v>230</v>
      </c>
      <c r="H9" s="11" t="s">
        <v>184</v>
      </c>
      <c r="I9" s="11" t="s">
        <v>227</v>
      </c>
      <c r="J9" s="11" t="s">
        <v>216</v>
      </c>
      <c r="K9" s="11" t="s">
        <v>185</v>
      </c>
      <c r="L9" s="258" t="s">
        <v>186</v>
      </c>
      <c r="M9" s="258"/>
      <c r="N9" s="70" t="s">
        <v>187</v>
      </c>
    </row>
    <row r="10" spans="1:20" s="13" customFormat="1" ht="61.5" customHeight="1" thickBot="1">
      <c r="A10" s="27"/>
      <c r="B10" s="257"/>
      <c r="C10" s="257"/>
      <c r="D10" s="71" t="s">
        <v>179</v>
      </c>
      <c r="E10" s="28" t="s">
        <v>180</v>
      </c>
      <c r="F10" s="28" t="s">
        <v>219</v>
      </c>
      <c r="G10" s="28" t="s">
        <v>180</v>
      </c>
      <c r="H10" s="28" t="s">
        <v>180</v>
      </c>
      <c r="I10" s="28" t="s">
        <v>181</v>
      </c>
      <c r="J10" s="28" t="s">
        <v>217</v>
      </c>
      <c r="K10" s="28" t="s">
        <v>181</v>
      </c>
      <c r="L10" s="259" t="s">
        <v>182</v>
      </c>
      <c r="M10" s="259"/>
      <c r="N10" s="72" t="s">
        <v>156</v>
      </c>
      <c r="S10" s="122" t="s">
        <v>213</v>
      </c>
      <c r="T10" s="122" t="s">
        <v>214</v>
      </c>
    </row>
    <row r="11" spans="1:20" ht="24.75" customHeight="1">
      <c r="A11" s="178" t="str">
        <f>'Fixed data'!A9</f>
        <v>Sputum container</v>
      </c>
      <c r="B11" s="75">
        <f>'Fixed data'!K9</f>
        <v>1</v>
      </c>
      <c r="C11" s="75" t="str">
        <f>'Fixed data'!L9</f>
        <v>pc</v>
      </c>
      <c r="D11" s="76"/>
      <c r="E11" s="77">
        <f>B11*'Fixed data'!E4*M7</f>
        <v>20000</v>
      </c>
      <c r="F11" s="77">
        <f>E11/'Fixed data'!E4</f>
        <v>1666.6666666666667</v>
      </c>
      <c r="G11" s="77">
        <f>E11*'Fixed data'!K6</f>
        <v>40000</v>
      </c>
      <c r="H11" s="77">
        <f aca="true" t="shared" si="0" ref="H11:H56">G11+E11</f>
        <v>60000</v>
      </c>
      <c r="I11" s="77">
        <f>'Variable data'!C10+'Variable data'!E10</f>
        <v>200</v>
      </c>
      <c r="J11" s="77">
        <f>I11/F11</f>
        <v>0.12</v>
      </c>
      <c r="K11" s="77">
        <f aca="true" t="shared" si="1" ref="K11:K17">H11-I11</f>
        <v>59800</v>
      </c>
      <c r="L11" s="77">
        <f aca="true" t="shared" si="2" ref="L11:L29">T11</f>
        <v>59.8</v>
      </c>
      <c r="M11" s="77" t="str">
        <f>CONCATENATE('Fixed data'!H9,"s")</f>
        <v>cartons</v>
      </c>
      <c r="N11" s="29">
        <f>'Fixed data'!E9</f>
        <v>1000</v>
      </c>
      <c r="O11" s="78" t="str">
        <f>CONCATENATE('Fixed data'!F9,'Fixed data'!G9,'Fixed data'!H9)</f>
        <v>pc/carton</v>
      </c>
      <c r="S11" s="15">
        <f aca="true" t="shared" si="3" ref="S11:S29">K11/N11</f>
        <v>59.8</v>
      </c>
      <c r="T11" s="15">
        <f>IF(S11&lt;=0,0,S11)</f>
        <v>59.8</v>
      </c>
    </row>
    <row r="12" spans="1:20" ht="24.75" customHeight="1">
      <c r="A12" s="178" t="str">
        <f>'Fixed data'!A10</f>
        <v>Microscopy slides</v>
      </c>
      <c r="B12" s="16">
        <f>'Fixed data'!K10</f>
        <v>1</v>
      </c>
      <c r="C12" s="16" t="str">
        <f>'Fixed data'!L10</f>
        <v>pc</v>
      </c>
      <c r="D12" s="20"/>
      <c r="E12" s="21">
        <f>B12*'Fixed data'!E4*M7</f>
        <v>20000</v>
      </c>
      <c r="F12" s="21">
        <f>E12/'Fixed data'!E4</f>
        <v>1666.6666666666667</v>
      </c>
      <c r="G12" s="21">
        <f>E12*'Fixed data'!K6</f>
        <v>40000</v>
      </c>
      <c r="H12" s="21">
        <f t="shared" si="0"/>
        <v>60000</v>
      </c>
      <c r="I12" s="21">
        <f>'Variable data'!C11+'Variable data'!E11</f>
        <v>200</v>
      </c>
      <c r="J12" s="21">
        <f>I12/F12</f>
        <v>0.12</v>
      </c>
      <c r="K12" s="21">
        <f t="shared" si="1"/>
        <v>59800</v>
      </c>
      <c r="L12" s="21">
        <f t="shared" si="2"/>
        <v>1196</v>
      </c>
      <c r="M12" s="21" t="str">
        <f>CONCATENATE('Fixed data'!H10,"s")</f>
        <v>packs</v>
      </c>
      <c r="N12" s="30">
        <f>'Fixed data'!E10</f>
        <v>50</v>
      </c>
      <c r="O12" s="78" t="str">
        <f>CONCATENATE('Fixed data'!F10,'Fixed data'!G10,'Fixed data'!H10)</f>
        <v>pc/pack</v>
      </c>
      <c r="S12" s="15">
        <f t="shared" si="3"/>
        <v>1196</v>
      </c>
      <c r="T12" s="15">
        <f aca="true" t="shared" si="4" ref="T12:T39">IF(S12&lt;=0,0,S12)</f>
        <v>1196</v>
      </c>
    </row>
    <row r="13" spans="1:20" ht="24.75" customHeight="1">
      <c r="A13" s="178" t="str">
        <f>'Fixed data'!A11</f>
        <v>Basic fuchsin</v>
      </c>
      <c r="B13" s="16">
        <f>'Fixed data'!K11</f>
        <v>0.005</v>
      </c>
      <c r="C13" s="16" t="str">
        <f>'Fixed data'!L11</f>
        <v>litre</v>
      </c>
      <c r="D13" s="16">
        <f>'Fixed data'!C11</f>
        <v>10</v>
      </c>
      <c r="E13" s="21">
        <f>B13*D13*'Fixed data'!E4*M5</f>
        <v>500.0000000000001</v>
      </c>
      <c r="F13" s="21">
        <f>E13/'Fixed data'!E4</f>
        <v>41.66666666666668</v>
      </c>
      <c r="G13" s="21">
        <f>E13*'Fixed data'!K6</f>
        <v>1000.0000000000002</v>
      </c>
      <c r="H13" s="21">
        <f t="shared" si="0"/>
        <v>1500.0000000000005</v>
      </c>
      <c r="I13" s="21">
        <f>'Variable data'!C12+'Variable data'!E12</f>
        <v>200</v>
      </c>
      <c r="J13" s="21">
        <f>I13/F13</f>
        <v>4.799999999999999</v>
      </c>
      <c r="K13" s="21">
        <f t="shared" si="1"/>
        <v>1300.0000000000005</v>
      </c>
      <c r="L13" s="21">
        <f t="shared" si="2"/>
        <v>13.000000000000005</v>
      </c>
      <c r="M13" s="21" t="str">
        <f>CONCATENATE('Fixed data'!H11,"s")</f>
        <v>containers</v>
      </c>
      <c r="N13" s="30">
        <f>'Fixed data'!E11</f>
        <v>100</v>
      </c>
      <c r="O13" s="78" t="str">
        <f>CONCATENATE('Fixed data'!F11,'Fixed data'!G11,'Fixed data'!H11)</f>
        <v>g/container</v>
      </c>
      <c r="S13" s="15">
        <f t="shared" si="3"/>
        <v>13.000000000000005</v>
      </c>
      <c r="T13" s="15">
        <f t="shared" si="4"/>
        <v>13.000000000000005</v>
      </c>
    </row>
    <row r="14" spans="1:20" ht="24.75" customHeight="1">
      <c r="A14" s="178" t="str">
        <f>'Fixed data'!A12</f>
        <v>Phenol for ZN</v>
      </c>
      <c r="B14" s="16">
        <f>'Fixed data'!K11</f>
        <v>0.005</v>
      </c>
      <c r="C14" s="16" t="str">
        <f>'Fixed data'!L11</f>
        <v>litre</v>
      </c>
      <c r="D14" s="16">
        <f>'Fixed data'!C12</f>
        <v>50</v>
      </c>
      <c r="E14" s="21">
        <f>B14*D14*'Fixed data'!E4*M5</f>
        <v>2500</v>
      </c>
      <c r="F14" s="21">
        <f>E14/'Fixed data'!E4</f>
        <v>208.33333333333334</v>
      </c>
      <c r="G14" s="21">
        <f>E14*'Fixed data'!K6</f>
        <v>5000</v>
      </c>
      <c r="H14" s="21">
        <f t="shared" si="0"/>
        <v>7500</v>
      </c>
      <c r="I14" s="21">
        <f>'Variable data'!C13+'Variable data'!E13</f>
        <v>200</v>
      </c>
      <c r="J14" s="21">
        <f>I14/(F14+F15)</f>
        <v>0.6</v>
      </c>
      <c r="K14" s="21">
        <f>H14+H15-I14</f>
        <v>11800</v>
      </c>
      <c r="L14" s="21">
        <f t="shared" si="2"/>
        <v>11.8</v>
      </c>
      <c r="M14" s="21" t="str">
        <f>CONCATENATE('Fixed data'!H12,"s")</f>
        <v>containers</v>
      </c>
      <c r="N14" s="30">
        <f>'Fixed data'!E12</f>
        <v>1000</v>
      </c>
      <c r="O14" s="78" t="str">
        <f>CONCATENATE('Fixed data'!F12,'Fixed data'!G12,'Fixed data'!H12)</f>
        <v>g/container</v>
      </c>
      <c r="S14" s="15">
        <f t="shared" si="3"/>
        <v>11.8</v>
      </c>
      <c r="T14" s="15">
        <f t="shared" si="4"/>
        <v>11.8</v>
      </c>
    </row>
    <row r="15" spans="1:20" ht="24.75" customHeight="1" thickBot="1">
      <c r="A15" s="178" t="str">
        <f>'Fixed data'!A13</f>
        <v>Phenol for fluorescence</v>
      </c>
      <c r="B15" s="16">
        <f>'Fixed data'!K12</f>
        <v>0.005</v>
      </c>
      <c r="C15" s="16" t="str">
        <f>'Fixed data'!L12</f>
        <v>litre</v>
      </c>
      <c r="D15" s="16">
        <f>'Fixed data'!C13</f>
        <v>30</v>
      </c>
      <c r="E15" s="21">
        <f>B15*D15*'Fixed data'!E4*M6</f>
        <v>1500</v>
      </c>
      <c r="F15" s="21">
        <f>E15/'Fixed data'!E4</f>
        <v>125</v>
      </c>
      <c r="G15" s="21">
        <f>E15*'Fixed data'!K6</f>
        <v>3000</v>
      </c>
      <c r="H15" s="21">
        <f t="shared" si="0"/>
        <v>4500</v>
      </c>
      <c r="I15" s="35"/>
      <c r="J15" s="35"/>
      <c r="K15" s="35"/>
      <c r="L15" s="35"/>
      <c r="M15" s="35"/>
      <c r="N15" s="35"/>
      <c r="O15" s="14"/>
      <c r="S15" s="36"/>
      <c r="T15" s="36"/>
    </row>
    <row r="16" spans="1:20" ht="24.75" customHeight="1">
      <c r="A16" s="178" t="str">
        <f>'Fixed data'!A14</f>
        <v>Auramine O</v>
      </c>
      <c r="B16" s="16">
        <f>'Fixed data'!K12</f>
        <v>0.005</v>
      </c>
      <c r="C16" s="16" t="str">
        <f>'Fixed data'!L12</f>
        <v>litre</v>
      </c>
      <c r="D16" s="16">
        <f>'Fixed data'!C14</f>
        <v>1</v>
      </c>
      <c r="E16" s="21">
        <f>B16*D16*'Fixed data'!E4*M6</f>
        <v>50</v>
      </c>
      <c r="F16" s="21">
        <f>E16/'Fixed data'!E4</f>
        <v>4.166666666666667</v>
      </c>
      <c r="G16" s="21">
        <f>E16*'Fixed data'!K6</f>
        <v>100</v>
      </c>
      <c r="H16" s="21">
        <f t="shared" si="0"/>
        <v>150</v>
      </c>
      <c r="I16" s="21">
        <f>'Variable data'!C14+'Variable data'!E14</f>
        <v>200</v>
      </c>
      <c r="J16" s="77">
        <f>I16/F16</f>
        <v>48</v>
      </c>
      <c r="K16" s="21">
        <f t="shared" si="1"/>
        <v>-50</v>
      </c>
      <c r="L16" s="21">
        <f>T16</f>
        <v>0</v>
      </c>
      <c r="M16" s="21" t="str">
        <f>CONCATENATE('Fixed data'!H14,"s")</f>
        <v>containers</v>
      </c>
      <c r="N16" s="30">
        <f>'Fixed data'!E14</f>
        <v>50</v>
      </c>
      <c r="O16" s="78" t="str">
        <f>CONCATENATE('Fixed data'!F14,'Fixed data'!G14,'Fixed data'!H14)</f>
        <v>g/container</v>
      </c>
      <c r="S16" s="15">
        <f>K16/N16</f>
        <v>-1</v>
      </c>
      <c r="T16" s="15">
        <f t="shared" si="4"/>
        <v>0</v>
      </c>
    </row>
    <row r="17" spans="1:20" ht="24.75" customHeight="1">
      <c r="A17" s="178" t="str">
        <f>'Fixed data'!A15</f>
        <v>Potassium permanganate</v>
      </c>
      <c r="B17" s="16">
        <f>'Fixed data'!K13</f>
        <v>0.005</v>
      </c>
      <c r="C17" s="16" t="str">
        <f>'Fixed data'!L13</f>
        <v>litre</v>
      </c>
      <c r="D17" s="16">
        <f>'Fixed data'!C15</f>
        <v>0</v>
      </c>
      <c r="E17" s="21">
        <f>B17*D17*'Fixed data'!E4*M6</f>
        <v>0</v>
      </c>
      <c r="F17" s="21">
        <f>E17/'Fixed data'!E4</f>
        <v>0</v>
      </c>
      <c r="G17" s="21">
        <f>E17*'Fixed data'!K6</f>
        <v>0</v>
      </c>
      <c r="H17" s="21">
        <f t="shared" si="0"/>
        <v>0</v>
      </c>
      <c r="I17" s="21">
        <f>'Variable data'!C15+'Variable data'!E15</f>
        <v>200</v>
      </c>
      <c r="J17" s="21" t="e">
        <f>I17/F17</f>
        <v>#DIV/0!</v>
      </c>
      <c r="K17" s="21">
        <f t="shared" si="1"/>
        <v>-200</v>
      </c>
      <c r="L17" s="21">
        <f>T17</f>
        <v>0</v>
      </c>
      <c r="M17" s="21" t="str">
        <f>CONCATENATE('Fixed data'!H15,"s")</f>
        <v>containers</v>
      </c>
      <c r="N17" s="30">
        <f>'Fixed data'!E15</f>
        <v>250</v>
      </c>
      <c r="O17" s="78" t="str">
        <f>CONCATENATE('Fixed data'!F15,'Fixed data'!G15,'Fixed data'!H15)</f>
        <v>g/container</v>
      </c>
      <c r="S17" s="15">
        <f>K17/N17</f>
        <v>-0.8</v>
      </c>
      <c r="T17" s="15">
        <f t="shared" si="4"/>
        <v>0</v>
      </c>
    </row>
    <row r="18" spans="1:20" ht="24.75" customHeight="1">
      <c r="A18" s="178" t="str">
        <f>'Fixed data'!A16</f>
        <v>Sulfuric acid, concentrated</v>
      </c>
      <c r="B18" s="16">
        <f>'Fixed data'!K14</f>
        <v>0.007</v>
      </c>
      <c r="C18" s="16" t="str">
        <f>'Fixed data'!L14</f>
        <v>litre</v>
      </c>
      <c r="D18" s="16">
        <f>'Fixed data'!C16</f>
        <v>200</v>
      </c>
      <c r="E18" s="21">
        <f>B18*D18*'Fixed data'!E4*M5</f>
        <v>14000.000000000002</v>
      </c>
      <c r="F18" s="21">
        <f>E18/'Fixed data'!E4</f>
        <v>1166.6666666666667</v>
      </c>
      <c r="G18" s="21">
        <f>E18*'Fixed data'!K6</f>
        <v>28000.000000000004</v>
      </c>
      <c r="H18" s="21">
        <f t="shared" si="0"/>
        <v>42000.00000000001</v>
      </c>
      <c r="I18" s="21">
        <f>'Variable data'!C16+'Variable data'!E16</f>
        <v>200</v>
      </c>
      <c r="J18" s="21">
        <f>I18/F18*1000</f>
        <v>171.42857142857142</v>
      </c>
      <c r="K18" s="21">
        <f>H18/1000-I18</f>
        <v>-158</v>
      </c>
      <c r="L18" s="21">
        <f t="shared" si="2"/>
        <v>0</v>
      </c>
      <c r="M18" s="21" t="str">
        <f>CONCATENATE('Fixed data'!H16,"s")</f>
        <v>bottles</v>
      </c>
      <c r="N18" s="30">
        <f>'Fixed data'!E16</f>
        <v>2.5</v>
      </c>
      <c r="O18" s="78" t="str">
        <f>CONCATENATE('Fixed data'!F16,'Fixed data'!G16,'Fixed data'!H16)</f>
        <v>litre/bottle</v>
      </c>
      <c r="S18" s="15">
        <f t="shared" si="3"/>
        <v>-63.2</v>
      </c>
      <c r="T18" s="15">
        <f t="shared" si="4"/>
        <v>0</v>
      </c>
    </row>
    <row r="19" spans="1:20" ht="24.75" customHeight="1">
      <c r="A19" s="178" t="str">
        <f>'Fixed data'!A17</f>
        <v>Hydrochloric acid for ZN</v>
      </c>
      <c r="B19" s="16">
        <f>'Fixed data'!K14</f>
        <v>0.007</v>
      </c>
      <c r="C19" s="16" t="str">
        <f>'Fixed data'!L14</f>
        <v>litre</v>
      </c>
      <c r="D19" s="16">
        <f>'Fixed data'!C17</f>
        <v>0</v>
      </c>
      <c r="E19" s="21">
        <f>B19*D19*'Fixed data'!E4*M5</f>
        <v>0</v>
      </c>
      <c r="F19" s="21">
        <f>E19/'Fixed data'!E4</f>
        <v>0</v>
      </c>
      <c r="G19" s="21">
        <f>E19*'Fixed data'!K6</f>
        <v>0</v>
      </c>
      <c r="H19" s="21">
        <f t="shared" si="0"/>
        <v>0</v>
      </c>
      <c r="I19" s="21">
        <f>'Variable data'!C17+'Variable data'!E17</f>
        <v>200</v>
      </c>
      <c r="J19" s="21">
        <f>I19/(F19+F20)*1000</f>
        <v>3428.571428571428</v>
      </c>
      <c r="K19" s="21">
        <f>(H19+H20)/1000-I19</f>
        <v>-197.9</v>
      </c>
      <c r="L19" s="21">
        <f>T19</f>
        <v>0</v>
      </c>
      <c r="M19" s="21" t="str">
        <f>CONCATENATE('Fixed data'!H17,"s")</f>
        <v>bottles</v>
      </c>
      <c r="N19" s="30">
        <f>'Fixed data'!E17</f>
        <v>2.5</v>
      </c>
      <c r="O19" s="78" t="str">
        <f>CONCATENATE('Fixed data'!F17,'Fixed data'!G17,'Fixed data'!H17)</f>
        <v>litre/bottle</v>
      </c>
      <c r="S19" s="15">
        <f>K19/N19</f>
        <v>-79.16</v>
      </c>
      <c r="T19" s="15">
        <f t="shared" si="4"/>
        <v>0</v>
      </c>
    </row>
    <row r="20" spans="1:20" ht="24.75" customHeight="1" thickBot="1">
      <c r="A20" s="178" t="str">
        <f>'Fixed data'!A18</f>
        <v>Hydrochloric acid for fluorescence</v>
      </c>
      <c r="B20" s="16">
        <f>'Fixed data'!K15</f>
        <v>0.007</v>
      </c>
      <c r="C20" s="16" t="str">
        <f>'Fixed data'!L15</f>
        <v>litre</v>
      </c>
      <c r="D20" s="16">
        <f>'Fixed data'!C18</f>
        <v>10</v>
      </c>
      <c r="E20" s="21">
        <f>B20*D20*'Fixed data'!E4*M6</f>
        <v>700.0000000000001</v>
      </c>
      <c r="F20" s="21">
        <f>E20/'Fixed data'!E4</f>
        <v>58.33333333333334</v>
      </c>
      <c r="G20" s="21">
        <f>E20*'Fixed data'!K6</f>
        <v>1400.0000000000002</v>
      </c>
      <c r="H20" s="21">
        <f t="shared" si="0"/>
        <v>2100.0000000000005</v>
      </c>
      <c r="I20" s="35"/>
      <c r="J20" s="35"/>
      <c r="K20" s="35"/>
      <c r="L20" s="35"/>
      <c r="M20" s="35"/>
      <c r="N20" s="35"/>
      <c r="O20" s="14"/>
      <c r="S20" s="36"/>
      <c r="T20" s="36"/>
    </row>
    <row r="21" spans="1:20" ht="24.75" customHeight="1">
      <c r="A21" s="178" t="str">
        <f>'Fixed data'!A19</f>
        <v>Methylene blue powder for ZN</v>
      </c>
      <c r="B21" s="16">
        <f>'Fixed data'!K16</f>
        <v>0.005</v>
      </c>
      <c r="C21" s="16" t="str">
        <f>'Fixed data'!L16</f>
        <v>litre</v>
      </c>
      <c r="D21" s="16">
        <f>'Fixed data'!C19</f>
        <v>1</v>
      </c>
      <c r="E21" s="21">
        <f>B21*D21*'Fixed data'!E4*M5</f>
        <v>50</v>
      </c>
      <c r="F21" s="21">
        <f>E21/'Fixed data'!E4</f>
        <v>4.166666666666667</v>
      </c>
      <c r="G21" s="21">
        <f>E21*'Fixed data'!K6</f>
        <v>100</v>
      </c>
      <c r="H21" s="21">
        <f t="shared" si="0"/>
        <v>150</v>
      </c>
      <c r="I21" s="21">
        <f>'Variable data'!C18+'Variable data'!E18</f>
        <v>200</v>
      </c>
      <c r="J21" s="77">
        <f>I21/(F21+F22)</f>
        <v>48</v>
      </c>
      <c r="K21" s="21">
        <f>H21+H22-I21</f>
        <v>-50</v>
      </c>
      <c r="L21" s="21">
        <f t="shared" si="2"/>
        <v>0</v>
      </c>
      <c r="M21" s="21" t="str">
        <f>CONCATENATE('Fixed data'!H19,"s")</f>
        <v>containers</v>
      </c>
      <c r="N21" s="30">
        <f>'Fixed data'!E19</f>
        <v>100</v>
      </c>
      <c r="O21" s="78" t="str">
        <f>CONCATENATE('Fixed data'!F19,'Fixed data'!G19,'Fixed data'!H19)</f>
        <v>g/container</v>
      </c>
      <c r="S21" s="15">
        <f t="shared" si="3"/>
        <v>-0.5</v>
      </c>
      <c r="T21" s="15">
        <f t="shared" si="4"/>
        <v>0</v>
      </c>
    </row>
    <row r="22" spans="1:20" ht="24.75" customHeight="1">
      <c r="A22" s="178" t="str">
        <f>'Fixed data'!A20</f>
        <v>Methylene blue powder for FM</v>
      </c>
      <c r="B22" s="16">
        <f>'Fixed data'!K16</f>
        <v>0.005</v>
      </c>
      <c r="C22" s="16" t="str">
        <f>'Fixed data'!L17</f>
        <v>litre</v>
      </c>
      <c r="D22" s="16">
        <f>'Fixed data'!C20</f>
        <v>0</v>
      </c>
      <c r="E22" s="21">
        <f>B22*D22*'Fixed data'!E5*M6</f>
        <v>0</v>
      </c>
      <c r="F22" s="21">
        <f>E22/'Fixed data'!E4</f>
        <v>0</v>
      </c>
      <c r="G22" s="21">
        <f>E22*'Fixed data'!K7</f>
        <v>0</v>
      </c>
      <c r="H22" s="21">
        <f>G22+E22</f>
        <v>0</v>
      </c>
      <c r="I22" s="35"/>
      <c r="J22" s="35"/>
      <c r="K22" s="35"/>
      <c r="L22" s="35"/>
      <c r="M22" s="35"/>
      <c r="N22" s="35"/>
      <c r="O22" s="78" t="str">
        <f>CONCATENATE('Fixed data'!F20,'Fixed data'!G20,'Fixed data'!H20)</f>
        <v>g/container</v>
      </c>
      <c r="S22" s="15" t="e">
        <f>K22/N22</f>
        <v>#DIV/0!</v>
      </c>
      <c r="T22" s="15" t="e">
        <f t="shared" si="4"/>
        <v>#DIV/0!</v>
      </c>
    </row>
    <row r="23" spans="1:20" ht="24.75" customHeight="1">
      <c r="A23" s="178" t="str">
        <f>'Fixed data'!A21</f>
        <v>Ethanol 95% for ZN and auramine stains</v>
      </c>
      <c r="B23" s="16">
        <f>'Fixed data'!K11</f>
        <v>0.005</v>
      </c>
      <c r="C23" s="16" t="str">
        <f>'Fixed data'!L11</f>
        <v>litre</v>
      </c>
      <c r="D23" s="16">
        <f>'Fixed data'!C21</f>
        <v>100</v>
      </c>
      <c r="E23" s="21">
        <f>B23*D23*'Fixed data'!E4*M7</f>
        <v>10000</v>
      </c>
      <c r="F23" s="21">
        <f>E23/'Fixed data'!E4</f>
        <v>833.3333333333334</v>
      </c>
      <c r="G23" s="21">
        <f>E23*'Fixed data'!K6</f>
        <v>20000</v>
      </c>
      <c r="H23" s="21">
        <f t="shared" si="0"/>
        <v>30000</v>
      </c>
      <c r="I23" s="21">
        <f>'Variable data'!C19+'Variable data'!E19</f>
        <v>200</v>
      </c>
      <c r="J23" s="21">
        <f>I23/(F23+F24+F25)*1000</f>
        <v>40.67796610169491</v>
      </c>
      <c r="K23" s="21">
        <f>(H23+H24+H25)/1000-I23</f>
        <v>-22.99999999999997</v>
      </c>
      <c r="L23" s="21">
        <f t="shared" si="2"/>
        <v>0</v>
      </c>
      <c r="M23" s="21" t="str">
        <f>CONCATENATE('Fixed data'!H21,"s")</f>
        <v>bottles</v>
      </c>
      <c r="N23" s="30">
        <f>'Fixed data'!E21</f>
        <v>2.5</v>
      </c>
      <c r="O23" s="78" t="str">
        <f>CONCATENATE('Fixed data'!F21,'Fixed data'!G21,'Fixed data'!H21)</f>
        <v>litre/bottle</v>
      </c>
      <c r="S23" s="15">
        <f t="shared" si="3"/>
        <v>-9.199999999999989</v>
      </c>
      <c r="T23" s="15">
        <f t="shared" si="4"/>
        <v>0</v>
      </c>
    </row>
    <row r="24" spans="1:20" ht="24.75" customHeight="1">
      <c r="A24" s="178" t="str">
        <f>'Fixed data'!A22</f>
        <v>Ethanol 95% for ZN acid alcohol</v>
      </c>
      <c r="B24" s="16">
        <f>'Fixed data'!K14</f>
        <v>0.007</v>
      </c>
      <c r="C24" s="16" t="str">
        <f>'Fixed data'!L14</f>
        <v>litre</v>
      </c>
      <c r="D24" s="16">
        <f>'Fixed data'!C22</f>
        <v>0</v>
      </c>
      <c r="E24" s="21">
        <f>B24*D24*'Fixed data'!E4*M5</f>
        <v>0</v>
      </c>
      <c r="F24" s="21">
        <f>E24/'Fixed data'!E4</f>
        <v>0</v>
      </c>
      <c r="G24" s="21">
        <f>E24*'Fixed data'!K6</f>
        <v>0</v>
      </c>
      <c r="H24" s="21">
        <f t="shared" si="0"/>
        <v>0</v>
      </c>
      <c r="I24" s="35"/>
      <c r="J24" s="35"/>
      <c r="K24" s="35"/>
      <c r="L24" s="35"/>
      <c r="M24" s="35"/>
      <c r="N24" s="35"/>
      <c r="O24" s="14"/>
      <c r="S24" s="36"/>
      <c r="T24" s="36"/>
    </row>
    <row r="25" spans="1:20" ht="24.75" customHeight="1" thickBot="1">
      <c r="A25" s="178" t="str">
        <f>'Fixed data'!A23</f>
        <v>Ethanol 95% for fluorescence acid alcohol</v>
      </c>
      <c r="B25" s="16">
        <f>'Fixed data'!K15</f>
        <v>0.007</v>
      </c>
      <c r="C25" s="16" t="str">
        <f>'Fixed data'!L15</f>
        <v>litre</v>
      </c>
      <c r="D25" s="16">
        <f>'Fixed data'!C23</f>
        <v>700</v>
      </c>
      <c r="E25" s="21">
        <f>B25*D25*'Fixed data'!E4*M6</f>
        <v>49000.00000000001</v>
      </c>
      <c r="F25" s="21">
        <f>E25/'Fixed data'!E4</f>
        <v>4083.333333333334</v>
      </c>
      <c r="G25" s="21">
        <f>E25*'Fixed data'!K6</f>
        <v>98000.00000000001</v>
      </c>
      <c r="H25" s="21">
        <f t="shared" si="0"/>
        <v>147000.00000000003</v>
      </c>
      <c r="I25" s="35"/>
      <c r="J25" s="35"/>
      <c r="K25" s="35"/>
      <c r="L25" s="35"/>
      <c r="M25" s="35"/>
      <c r="N25" s="35"/>
      <c r="O25" s="14"/>
      <c r="S25" s="36"/>
      <c r="T25" s="36"/>
    </row>
    <row r="26" spans="1:20" ht="24.75" customHeight="1">
      <c r="A26" s="178" t="str">
        <f>'Fixed data'!A24</f>
        <v>Other item calculated per smear</v>
      </c>
      <c r="B26" s="16">
        <f>'Fixed data'!K19</f>
        <v>0</v>
      </c>
      <c r="C26" s="16" t="str">
        <f>'Fixed data'!L15</f>
        <v>litre</v>
      </c>
      <c r="D26" s="16">
        <f>'Fixed data'!C24</f>
        <v>0</v>
      </c>
      <c r="E26" s="21">
        <f>B26*D26*'Fixed data'!E4*M6</f>
        <v>0</v>
      </c>
      <c r="F26" s="21">
        <f>E26/'Fixed data'!E4</f>
        <v>0</v>
      </c>
      <c r="G26" s="21">
        <f>E26*'Fixed data'!K6</f>
        <v>0</v>
      </c>
      <c r="H26" s="21">
        <f t="shared" si="0"/>
        <v>0</v>
      </c>
      <c r="I26" s="21">
        <f>'Variable data'!C20+'Variable data'!E20</f>
        <v>0</v>
      </c>
      <c r="J26" s="77" t="e">
        <f aca="true" t="shared" si="5" ref="J26:J56">I26/F26</f>
        <v>#DIV/0!</v>
      </c>
      <c r="K26" s="21">
        <f>H26-I26</f>
        <v>0</v>
      </c>
      <c r="L26" s="21" t="e">
        <f t="shared" si="2"/>
        <v>#DIV/0!</v>
      </c>
      <c r="M26" s="21" t="str">
        <f>CONCATENATE('Fixed data'!H24,"s")</f>
        <v>0s</v>
      </c>
      <c r="N26" s="30">
        <f>'Fixed data'!E24</f>
        <v>0</v>
      </c>
      <c r="O26" s="78" t="str">
        <f>CONCATENATE('Fixed data'!F24,'Fixed data'!G24,'Fixed data'!H24)</f>
        <v>0/0</v>
      </c>
      <c r="S26" s="15" t="e">
        <f t="shared" si="3"/>
        <v>#DIV/0!</v>
      </c>
      <c r="T26" s="15" t="e">
        <f t="shared" si="4"/>
        <v>#DIV/0!</v>
      </c>
    </row>
    <row r="27" spans="1:20" ht="24.75" customHeight="1">
      <c r="A27" s="178" t="str">
        <f>'Fixed data'!A25</f>
        <v>Other item calculated per smear</v>
      </c>
      <c r="B27" s="16">
        <f>'Fixed data'!K20</f>
        <v>0</v>
      </c>
      <c r="C27" s="16" t="str">
        <f>'Fixed data'!L19</f>
        <v>litre</v>
      </c>
      <c r="D27" s="16">
        <f>'Fixed data'!C25</f>
        <v>0</v>
      </c>
      <c r="E27" s="21">
        <f>B27*D27*'Fixed data'!E4*M5</f>
        <v>0</v>
      </c>
      <c r="F27" s="21">
        <f>E27/'Fixed data'!E4</f>
        <v>0</v>
      </c>
      <c r="G27" s="21">
        <f>E27*'Fixed data'!K6</f>
        <v>0</v>
      </c>
      <c r="H27" s="21">
        <f t="shared" si="0"/>
        <v>0</v>
      </c>
      <c r="I27" s="21">
        <f>'Variable data'!C21+'Variable data'!E21</f>
        <v>0</v>
      </c>
      <c r="J27" s="21" t="e">
        <f t="shared" si="5"/>
        <v>#DIV/0!</v>
      </c>
      <c r="K27" s="21">
        <f>H27-I27</f>
        <v>0</v>
      </c>
      <c r="L27" s="21" t="e">
        <f>T27</f>
        <v>#DIV/0!</v>
      </c>
      <c r="M27" s="21" t="str">
        <f>CONCATENATE('Fixed data'!H25,"s")</f>
        <v>0s</v>
      </c>
      <c r="N27" s="30">
        <f>'Fixed data'!E25</f>
        <v>0</v>
      </c>
      <c r="O27" s="78" t="str">
        <f>CONCATENATE('Fixed data'!F25,'Fixed data'!G25,'Fixed data'!H25)</f>
        <v>0/0</v>
      </c>
      <c r="S27" s="15" t="e">
        <f>K27/N27</f>
        <v>#DIV/0!</v>
      </c>
      <c r="T27" s="15" t="e">
        <f t="shared" si="4"/>
        <v>#DIV/0!</v>
      </c>
    </row>
    <row r="28" spans="1:20" ht="24.75" customHeight="1">
      <c r="A28" s="178" t="str">
        <f>'Fixed data'!A26</f>
        <v>Burning spirit</v>
      </c>
      <c r="B28" s="16">
        <f>'Fixed data'!K17</f>
        <v>0.001</v>
      </c>
      <c r="C28" s="16" t="str">
        <f>'Fixed data'!L17</f>
        <v>litre</v>
      </c>
      <c r="D28" s="20"/>
      <c r="E28" s="21">
        <f>M7*B28*'Fixed data'!E4</f>
        <v>20</v>
      </c>
      <c r="F28" s="21">
        <f>E28/'Fixed data'!E4</f>
        <v>1.6666666666666667</v>
      </c>
      <c r="G28" s="21">
        <f>E28*'Fixed data'!K6</f>
        <v>40</v>
      </c>
      <c r="H28" s="21">
        <f t="shared" si="0"/>
        <v>60</v>
      </c>
      <c r="I28" s="21">
        <f>'Variable data'!C22+'Variable data'!E22</f>
        <v>200</v>
      </c>
      <c r="J28" s="21">
        <f t="shared" si="5"/>
        <v>120</v>
      </c>
      <c r="K28" s="21">
        <f>H28-I28</f>
        <v>-140</v>
      </c>
      <c r="L28" s="21">
        <f t="shared" si="2"/>
        <v>0</v>
      </c>
      <c r="M28" s="21" t="str">
        <f>CONCATENATE('Fixed data'!H26,"s")</f>
        <v>bottles</v>
      </c>
      <c r="N28" s="30">
        <f>'Fixed data'!E26</f>
        <v>2.5</v>
      </c>
      <c r="O28" s="78" t="str">
        <f>CONCATENATE('Fixed data'!F26,'Fixed data'!G26,'Fixed data'!H26)</f>
        <v>litre/bottle</v>
      </c>
      <c r="S28" s="15">
        <f t="shared" si="3"/>
        <v>-56</v>
      </c>
      <c r="T28" s="15">
        <f t="shared" si="4"/>
        <v>0</v>
      </c>
    </row>
    <row r="29" spans="1:20" ht="24.75" customHeight="1">
      <c r="A29" s="178" t="str">
        <f>'Fixed data'!A27</f>
        <v>Immersion oil</v>
      </c>
      <c r="B29" s="16">
        <f>'Fixed data'!K18</f>
        <v>0.1</v>
      </c>
      <c r="C29" s="16" t="str">
        <f>'Fixed data'!L18</f>
        <v>ml</v>
      </c>
      <c r="D29" s="20"/>
      <c r="E29" s="21">
        <f>M5*B29*'Fixed data'!E4</f>
        <v>1000.0000000000001</v>
      </c>
      <c r="F29" s="21">
        <f>E29/'Fixed data'!E4</f>
        <v>83.33333333333334</v>
      </c>
      <c r="G29" s="21">
        <f>E29*'Fixed data'!K6</f>
        <v>2000.0000000000002</v>
      </c>
      <c r="H29" s="21">
        <f t="shared" si="0"/>
        <v>3000.0000000000005</v>
      </c>
      <c r="I29" s="21">
        <f>'Variable data'!C23+'Variable data'!E23</f>
        <v>200</v>
      </c>
      <c r="J29" s="21">
        <f t="shared" si="5"/>
        <v>2.4</v>
      </c>
      <c r="K29" s="21">
        <f>H29-I29</f>
        <v>2800.0000000000005</v>
      </c>
      <c r="L29" s="21">
        <f t="shared" si="2"/>
        <v>28.000000000000004</v>
      </c>
      <c r="M29" s="21" t="str">
        <f>CONCATENATE('Fixed data'!H27,"s")</f>
        <v>bottles</v>
      </c>
      <c r="N29" s="30">
        <f>'Fixed data'!E27</f>
        <v>100</v>
      </c>
      <c r="O29" s="78" t="str">
        <f>CONCATENATE('Fixed data'!F27,'Fixed data'!G27,'Fixed data'!H27)</f>
        <v>ml/bottle</v>
      </c>
      <c r="S29" s="15">
        <f t="shared" si="3"/>
        <v>28.000000000000004</v>
      </c>
      <c r="T29" s="15">
        <f t="shared" si="4"/>
        <v>28.000000000000004</v>
      </c>
    </row>
    <row r="30" spans="1:20" ht="24.75" customHeight="1">
      <c r="A30" s="178" t="str">
        <f>'Fixed data'!A28</f>
        <v>Xylene</v>
      </c>
      <c r="B30" s="16">
        <f>'Fixed data'!K25</f>
        <v>0.04</v>
      </c>
      <c r="C30" s="16" t="str">
        <f>'Fixed data'!L25</f>
        <v>litre</v>
      </c>
      <c r="D30" s="20"/>
      <c r="E30" s="21">
        <f>I7*B30*'Fixed data'!E4/12</f>
        <v>0.4000000000000001</v>
      </c>
      <c r="F30" s="21">
        <f>E30/'Fixed data'!E4</f>
        <v>0.03333333333333334</v>
      </c>
      <c r="G30" s="21">
        <f>E30*'Fixed data'!K6</f>
        <v>0.8000000000000002</v>
      </c>
      <c r="H30" s="21">
        <f t="shared" si="0"/>
        <v>1.2000000000000002</v>
      </c>
      <c r="I30" s="21">
        <f>'Variable data'!C24+'Variable data'!E24</f>
        <v>200</v>
      </c>
      <c r="J30" s="21">
        <f t="shared" si="5"/>
        <v>5999.999999999999</v>
      </c>
      <c r="K30" s="21">
        <f aca="true" t="shared" si="6" ref="K30:K39">H30-I30</f>
        <v>-198.8</v>
      </c>
      <c r="L30" s="21">
        <f aca="true" t="shared" si="7" ref="L30:L39">T30</f>
        <v>0</v>
      </c>
      <c r="M30" s="21" t="str">
        <f>CONCATENATE('Fixed data'!H28,"s")</f>
        <v>bottles</v>
      </c>
      <c r="N30" s="30">
        <f>'Fixed data'!E28</f>
        <v>2.5</v>
      </c>
      <c r="O30" s="78" t="str">
        <f>CONCATENATE('Fixed data'!F28,'Fixed data'!G28,'Fixed data'!H28)</f>
        <v>litre/bottle</v>
      </c>
      <c r="S30" s="15">
        <f aca="true" t="shared" si="8" ref="S30:S39">K30/N30</f>
        <v>-79.52000000000001</v>
      </c>
      <c r="T30" s="15">
        <f t="shared" si="4"/>
        <v>0</v>
      </c>
    </row>
    <row r="31" spans="1:20" ht="24.75" customHeight="1">
      <c r="A31" s="178" t="str">
        <f>'Fixed data'!A29</f>
        <v>Cottonwool</v>
      </c>
      <c r="B31" s="16">
        <f>'Fixed data'!K26</f>
        <v>500</v>
      </c>
      <c r="C31" s="16" t="str">
        <f>'Fixed data'!L26</f>
        <v>g</v>
      </c>
      <c r="D31" s="20"/>
      <c r="E31" s="21">
        <f>I7*B31*'Fixed data'!E4/12</f>
        <v>5000</v>
      </c>
      <c r="F31" s="21">
        <f>E31/'Fixed data'!E4</f>
        <v>416.6666666666667</v>
      </c>
      <c r="G31" s="21">
        <f>E31*'Fixed data'!K6</f>
        <v>10000</v>
      </c>
      <c r="H31" s="21">
        <f t="shared" si="0"/>
        <v>15000</v>
      </c>
      <c r="I31" s="21">
        <f>'Variable data'!C25+'Variable data'!E25</f>
        <v>200</v>
      </c>
      <c r="J31" s="21">
        <f t="shared" si="5"/>
        <v>0.48</v>
      </c>
      <c r="K31" s="21">
        <f t="shared" si="6"/>
        <v>14800</v>
      </c>
      <c r="L31" s="21">
        <f t="shared" si="7"/>
        <v>29.6</v>
      </c>
      <c r="M31" s="21" t="str">
        <f>CONCATENATE('Fixed data'!H29,"s")</f>
        <v>rolls</v>
      </c>
      <c r="N31" s="30">
        <f>'Fixed data'!E29</f>
        <v>500</v>
      </c>
      <c r="O31" s="78" t="str">
        <f>CONCATENATE('Fixed data'!F29,'Fixed data'!G29,'Fixed data'!H29)</f>
        <v>g/roll</v>
      </c>
      <c r="S31" s="15">
        <f t="shared" si="8"/>
        <v>29.6</v>
      </c>
      <c r="T31" s="15">
        <f t="shared" si="4"/>
        <v>29.6</v>
      </c>
    </row>
    <row r="32" spans="1:20" ht="24.75" customHeight="1">
      <c r="A32" s="178" t="str">
        <f>'Fixed data'!A30</f>
        <v>Nichrome wire</v>
      </c>
      <c r="B32" s="16">
        <f>'Fixed data'!K27</f>
        <v>1</v>
      </c>
      <c r="C32" s="16" t="str">
        <f>'Fixed data'!L27</f>
        <v>meter</v>
      </c>
      <c r="D32" s="20"/>
      <c r="E32" s="21">
        <f>I7*B32*'Fixed data'!E4/12</f>
        <v>10</v>
      </c>
      <c r="F32" s="21">
        <f>E32/'Fixed data'!E4</f>
        <v>0.8333333333333334</v>
      </c>
      <c r="G32" s="21">
        <f>E32*'Fixed data'!K6</f>
        <v>20</v>
      </c>
      <c r="H32" s="21">
        <f t="shared" si="0"/>
        <v>30</v>
      </c>
      <c r="I32" s="21">
        <f>'Variable data'!C26+'Variable data'!E26</f>
        <v>200</v>
      </c>
      <c r="J32" s="21">
        <f t="shared" si="5"/>
        <v>240</v>
      </c>
      <c r="K32" s="21">
        <f t="shared" si="6"/>
        <v>-170</v>
      </c>
      <c r="L32" s="21">
        <f t="shared" si="7"/>
        <v>0</v>
      </c>
      <c r="M32" s="21" t="str">
        <f>CONCATENATE('Fixed data'!H30,"s")</f>
        <v>rolls</v>
      </c>
      <c r="N32" s="30">
        <f>'Fixed data'!E30</f>
        <v>10</v>
      </c>
      <c r="O32" s="78" t="str">
        <f>CONCATENATE('Fixed data'!F30,'Fixed data'!G30,'Fixed data'!H30)</f>
        <v>meter/roll</v>
      </c>
      <c r="S32" s="15">
        <f t="shared" si="8"/>
        <v>-17</v>
      </c>
      <c r="T32" s="15">
        <f t="shared" si="4"/>
        <v>0</v>
      </c>
    </row>
    <row r="33" spans="1:20" ht="24.75" customHeight="1">
      <c r="A33" s="178" t="str">
        <f>'Fixed data'!A31</f>
        <v>Gloves M</v>
      </c>
      <c r="B33" s="16">
        <f>'Fixed data'!K28</f>
        <v>100</v>
      </c>
      <c r="C33" s="16" t="str">
        <f>'Fixed data'!L28</f>
        <v>pair</v>
      </c>
      <c r="D33" s="20"/>
      <c r="E33" s="21">
        <f>I7*B33*'Fixed data'!E4/12</f>
        <v>1000</v>
      </c>
      <c r="F33" s="21">
        <f>E33/'Fixed data'!E4</f>
        <v>83.33333333333333</v>
      </c>
      <c r="G33" s="21">
        <f>E33*'Fixed data'!K6</f>
        <v>2000</v>
      </c>
      <c r="H33" s="21">
        <f t="shared" si="0"/>
        <v>3000</v>
      </c>
      <c r="I33" s="21">
        <f>'Variable data'!C27+'Variable data'!E27</f>
        <v>200</v>
      </c>
      <c r="J33" s="21">
        <f t="shared" si="5"/>
        <v>2.4000000000000004</v>
      </c>
      <c r="K33" s="21">
        <f t="shared" si="6"/>
        <v>2800</v>
      </c>
      <c r="L33" s="21">
        <f t="shared" si="7"/>
        <v>28</v>
      </c>
      <c r="M33" s="21" t="str">
        <f>CONCATENATE('Fixed data'!H31,"s")</f>
        <v>boxs</v>
      </c>
      <c r="N33" s="30">
        <f>'Fixed data'!E31</f>
        <v>100</v>
      </c>
      <c r="O33" s="78" t="str">
        <f>CONCATENATE('Fixed data'!F31,'Fixed data'!G31,'Fixed data'!H31)</f>
        <v>pair/box</v>
      </c>
      <c r="S33" s="15">
        <f t="shared" si="8"/>
        <v>28</v>
      </c>
      <c r="T33" s="15">
        <f t="shared" si="4"/>
        <v>28</v>
      </c>
    </row>
    <row r="34" spans="1:20" ht="24.75" customHeight="1">
      <c r="A34" s="178" t="str">
        <f>'Fixed data'!A32</f>
        <v>Loopholder</v>
      </c>
      <c r="B34" s="16">
        <f>'Fixed data'!K29</f>
        <v>0.2</v>
      </c>
      <c r="C34" s="16" t="str">
        <f>'Fixed data'!L29</f>
        <v>pc</v>
      </c>
      <c r="D34" s="20"/>
      <c r="E34" s="21">
        <f>I7*B34*'Fixed data'!E4/12</f>
        <v>2</v>
      </c>
      <c r="F34" s="21">
        <f>E34/'Fixed data'!E4</f>
        <v>0.16666666666666666</v>
      </c>
      <c r="G34" s="21">
        <f>E34*'Fixed data'!K6</f>
        <v>4</v>
      </c>
      <c r="H34" s="21">
        <f t="shared" si="0"/>
        <v>6</v>
      </c>
      <c r="I34" s="21">
        <f>'Variable data'!C28+'Variable data'!E28</f>
        <v>200</v>
      </c>
      <c r="J34" s="21">
        <f t="shared" si="5"/>
        <v>1200</v>
      </c>
      <c r="K34" s="21">
        <f t="shared" si="6"/>
        <v>-194</v>
      </c>
      <c r="L34" s="21">
        <f t="shared" si="7"/>
        <v>0</v>
      </c>
      <c r="M34" s="21" t="str">
        <f>CONCATENATE('Fixed data'!H32,"s")</f>
        <v>packs</v>
      </c>
      <c r="N34" s="30">
        <f>'Fixed data'!E32</f>
        <v>10</v>
      </c>
      <c r="O34" s="78" t="str">
        <f>CONCATENATE('Fixed data'!F32,'Fixed data'!G32,'Fixed data'!H32)</f>
        <v>pc/pack</v>
      </c>
      <c r="S34" s="15">
        <f t="shared" si="8"/>
        <v>-19.4</v>
      </c>
      <c r="T34" s="15">
        <f t="shared" si="4"/>
        <v>0</v>
      </c>
    </row>
    <row r="35" spans="1:20" ht="24.75" customHeight="1">
      <c r="A35" s="178" t="str">
        <f>'Fixed data'!A33</f>
        <v>Timer</v>
      </c>
      <c r="B35" s="16">
        <f>'Fixed data'!K30</f>
        <v>0.1</v>
      </c>
      <c r="C35" s="16" t="str">
        <f>'Fixed data'!L30</f>
        <v>pc</v>
      </c>
      <c r="D35" s="20"/>
      <c r="E35" s="21">
        <f>I7*B35*'Fixed data'!E4/12</f>
        <v>1</v>
      </c>
      <c r="F35" s="21">
        <f>E35/'Fixed data'!E4</f>
        <v>0.08333333333333333</v>
      </c>
      <c r="G35" s="21">
        <f>E35*'Fixed data'!K6</f>
        <v>2</v>
      </c>
      <c r="H35" s="21">
        <f t="shared" si="0"/>
        <v>3</v>
      </c>
      <c r="I35" s="21">
        <f>'Variable data'!C29+'Variable data'!E29</f>
        <v>200</v>
      </c>
      <c r="J35" s="21">
        <f t="shared" si="5"/>
        <v>2400</v>
      </c>
      <c r="K35" s="21">
        <f t="shared" si="6"/>
        <v>-197</v>
      </c>
      <c r="L35" s="21">
        <f t="shared" si="7"/>
        <v>0</v>
      </c>
      <c r="M35" s="21" t="str">
        <f>CONCATENATE('Fixed data'!H33,"s")</f>
        <v>packs</v>
      </c>
      <c r="N35" s="30">
        <f>'Fixed data'!E33</f>
        <v>10</v>
      </c>
      <c r="O35" s="78" t="str">
        <f>CONCATENATE('Fixed data'!F33,'Fixed data'!G33,'Fixed data'!H33)</f>
        <v>pc/pack</v>
      </c>
      <c r="S35" s="15">
        <f t="shared" si="8"/>
        <v>-19.7</v>
      </c>
      <c r="T35" s="15">
        <f t="shared" si="4"/>
        <v>0</v>
      </c>
    </row>
    <row r="36" spans="1:20" ht="24.75" customHeight="1">
      <c r="A36" s="178" t="str">
        <f>'Fixed data'!A34</f>
        <v>Slide forceps</v>
      </c>
      <c r="B36" s="16">
        <f>'Fixed data'!K31</f>
        <v>0.1</v>
      </c>
      <c r="C36" s="16" t="str">
        <f>'Fixed data'!L31</f>
        <v>pc</v>
      </c>
      <c r="D36" s="20"/>
      <c r="E36" s="21">
        <f>I7*B36*'Fixed data'!E4/12</f>
        <v>1</v>
      </c>
      <c r="F36" s="21">
        <f>E36/'Fixed data'!E4</f>
        <v>0.08333333333333333</v>
      </c>
      <c r="G36" s="21">
        <f>E36*'Fixed data'!K6</f>
        <v>2</v>
      </c>
      <c r="H36" s="21">
        <f t="shared" si="0"/>
        <v>3</v>
      </c>
      <c r="I36" s="21">
        <f>'Variable data'!C30+'Variable data'!E30</f>
        <v>200</v>
      </c>
      <c r="J36" s="21">
        <f t="shared" si="5"/>
        <v>2400</v>
      </c>
      <c r="K36" s="21">
        <f t="shared" si="6"/>
        <v>-197</v>
      </c>
      <c r="L36" s="21">
        <f t="shared" si="7"/>
        <v>0</v>
      </c>
      <c r="M36" s="21" t="str">
        <f>CONCATENATE('Fixed data'!H34,"s")</f>
        <v>packs</v>
      </c>
      <c r="N36" s="30">
        <f>'Fixed data'!E34</f>
        <v>10</v>
      </c>
      <c r="O36" s="78" t="str">
        <f>CONCATENATE('Fixed data'!F34,'Fixed data'!G34,'Fixed data'!H34)</f>
        <v>pc/pack</v>
      </c>
      <c r="S36" s="15">
        <f t="shared" si="8"/>
        <v>-19.7</v>
      </c>
      <c r="T36" s="15">
        <f t="shared" si="4"/>
        <v>0</v>
      </c>
    </row>
    <row r="37" spans="1:20" ht="24.75" customHeight="1">
      <c r="A37" s="178" t="str">
        <f>'Fixed data'!A35</f>
        <v>Marker</v>
      </c>
      <c r="B37" s="16">
        <f>'Fixed data'!K32</f>
        <v>4</v>
      </c>
      <c r="C37" s="16" t="str">
        <f>'Fixed data'!L32</f>
        <v>pc</v>
      </c>
      <c r="D37" s="20"/>
      <c r="E37" s="21">
        <f>I7*B37*'Fixed data'!E4/12</f>
        <v>40</v>
      </c>
      <c r="F37" s="21">
        <f>E37/'Fixed data'!E4</f>
        <v>3.3333333333333335</v>
      </c>
      <c r="G37" s="21">
        <f>E37*'Fixed data'!K6</f>
        <v>80</v>
      </c>
      <c r="H37" s="21">
        <f t="shared" si="0"/>
        <v>120</v>
      </c>
      <c r="I37" s="21">
        <f>'Variable data'!C31+'Variable data'!E31</f>
        <v>200</v>
      </c>
      <c r="J37" s="21">
        <f t="shared" si="5"/>
        <v>60</v>
      </c>
      <c r="K37" s="21">
        <f t="shared" si="6"/>
        <v>-80</v>
      </c>
      <c r="L37" s="21">
        <f t="shared" si="7"/>
        <v>0</v>
      </c>
      <c r="M37" s="21" t="str">
        <f>CONCATENATE('Fixed data'!H35,"es")</f>
        <v>boxes</v>
      </c>
      <c r="N37" s="30">
        <f>'Fixed data'!E35</f>
        <v>10</v>
      </c>
      <c r="O37" s="78" t="str">
        <f>CONCATENATE('Fixed data'!F35,'Fixed data'!G35,'Fixed data'!H35)</f>
        <v>pc/box</v>
      </c>
      <c r="S37" s="15">
        <f t="shared" si="8"/>
        <v>-8</v>
      </c>
      <c r="T37" s="15">
        <f t="shared" si="4"/>
        <v>0</v>
      </c>
    </row>
    <row r="38" spans="1:20" ht="24.75" customHeight="1">
      <c r="A38" s="178" t="str">
        <f>'Fixed data'!A36</f>
        <v>Spiritlamp</v>
      </c>
      <c r="B38" s="16">
        <f>'Fixed data'!K33</f>
        <v>0.2</v>
      </c>
      <c r="C38" s="16" t="str">
        <f>'Fixed data'!L33</f>
        <v>pc</v>
      </c>
      <c r="D38" s="20"/>
      <c r="E38" s="21">
        <f>I7*B38*'Fixed data'!E4/12</f>
        <v>2</v>
      </c>
      <c r="F38" s="21">
        <f>E38/'Fixed data'!E4</f>
        <v>0.16666666666666666</v>
      </c>
      <c r="G38" s="21">
        <f>E38*'Fixed data'!K6</f>
        <v>4</v>
      </c>
      <c r="H38" s="21">
        <f t="shared" si="0"/>
        <v>6</v>
      </c>
      <c r="I38" s="21">
        <f>'Variable data'!C32+'Variable data'!E32</f>
        <v>200</v>
      </c>
      <c r="J38" s="21">
        <f t="shared" si="5"/>
        <v>1200</v>
      </c>
      <c r="K38" s="21">
        <f t="shared" si="6"/>
        <v>-194</v>
      </c>
      <c r="L38" s="21">
        <f t="shared" si="7"/>
        <v>0</v>
      </c>
      <c r="M38" s="21" t="str">
        <f>CONCATENATE('Fixed data'!H36,"s")</f>
        <v>pcs</v>
      </c>
      <c r="N38" s="30">
        <f>'Fixed data'!E36</f>
        <v>1</v>
      </c>
      <c r="O38" s="78" t="str">
        <f>CONCATENATE('Fixed data'!F36,'Fixed data'!G36,'Fixed data'!H36)</f>
        <v>pc/pc</v>
      </c>
      <c r="S38" s="15">
        <f t="shared" si="8"/>
        <v>-194</v>
      </c>
      <c r="T38" s="15">
        <f t="shared" si="4"/>
        <v>0</v>
      </c>
    </row>
    <row r="39" spans="1:20" ht="24.75" customHeight="1">
      <c r="A39" s="178" t="str">
        <f>'Fixed data'!A37</f>
        <v>Diamond pencil</v>
      </c>
      <c r="B39" s="16">
        <f>'Fixed data'!K34</f>
        <v>0.1</v>
      </c>
      <c r="C39" s="16" t="str">
        <f>'Fixed data'!L34</f>
        <v>pc</v>
      </c>
      <c r="D39" s="20"/>
      <c r="E39" s="21">
        <f>I7*B39*'Fixed data'!E4/12</f>
        <v>1</v>
      </c>
      <c r="F39" s="21">
        <f>E39/'Fixed data'!E4</f>
        <v>0.08333333333333333</v>
      </c>
      <c r="G39" s="21">
        <f>E39*'Fixed data'!K6</f>
        <v>2</v>
      </c>
      <c r="H39" s="21">
        <f t="shared" si="0"/>
        <v>3</v>
      </c>
      <c r="I39" s="21">
        <f>'Variable data'!C33+'Variable data'!E33</f>
        <v>200</v>
      </c>
      <c r="J39" s="21">
        <f t="shared" si="5"/>
        <v>2400</v>
      </c>
      <c r="K39" s="21">
        <f t="shared" si="6"/>
        <v>-197</v>
      </c>
      <c r="L39" s="21">
        <f t="shared" si="7"/>
        <v>0</v>
      </c>
      <c r="M39" s="21" t="str">
        <f>CONCATENATE('Fixed data'!H37,"s")</f>
        <v>packs</v>
      </c>
      <c r="N39" s="30">
        <f>'Fixed data'!E37</f>
        <v>10</v>
      </c>
      <c r="O39" s="78" t="str">
        <f>CONCATENATE('Fixed data'!F37,'Fixed data'!G37,'Fixed data'!H37)</f>
        <v>pc/pack</v>
      </c>
      <c r="S39" s="15">
        <f t="shared" si="8"/>
        <v>-19.7</v>
      </c>
      <c r="T39" s="15">
        <f t="shared" si="4"/>
        <v>0</v>
      </c>
    </row>
    <row r="40" spans="1:20" ht="24.75" customHeight="1">
      <c r="A40" s="178" t="str">
        <f>'Fixed data'!A38</f>
        <v>Spare bulb</v>
      </c>
      <c r="B40" s="16">
        <f>'Fixed data'!K35</f>
        <v>0.5</v>
      </c>
      <c r="C40" s="16" t="str">
        <f>'Fixed data'!L35</f>
        <v>pc</v>
      </c>
      <c r="D40" s="20"/>
      <c r="E40" s="21">
        <f>I7*B40*'Fixed data'!E4/12</f>
        <v>5</v>
      </c>
      <c r="F40" s="21">
        <f>E40/'Fixed data'!E4</f>
        <v>0.4166666666666667</v>
      </c>
      <c r="G40" s="21">
        <f>E40*'Fixed data'!K6</f>
        <v>10</v>
      </c>
      <c r="H40" s="21">
        <f t="shared" si="0"/>
        <v>15</v>
      </c>
      <c r="I40" s="21">
        <f>'Variable data'!C34+'Variable data'!E34</f>
        <v>200</v>
      </c>
      <c r="J40" s="21">
        <f t="shared" si="5"/>
        <v>480</v>
      </c>
      <c r="K40" s="21">
        <f>H40-I40</f>
        <v>-185</v>
      </c>
      <c r="L40" s="21">
        <f>T40</f>
        <v>0</v>
      </c>
      <c r="M40" s="21" t="str">
        <f>CONCATENATE('Fixed data'!H38,"s")</f>
        <v>pcs</v>
      </c>
      <c r="N40" s="30">
        <f>'Fixed data'!E38</f>
        <v>1</v>
      </c>
      <c r="O40" s="78" t="str">
        <f>CONCATENATE('Fixed data'!F38,'Fixed data'!G38,'Fixed data'!H38)</f>
        <v>pc/pc</v>
      </c>
      <c r="S40" s="15">
        <f>K40/N40</f>
        <v>-185</v>
      </c>
      <c r="T40" s="15">
        <f>IF(S40&lt;=0,0,S40)</f>
        <v>0</v>
      </c>
    </row>
    <row r="41" spans="1:20" ht="24.75" customHeight="1">
      <c r="A41" s="178" t="str">
        <f>'Fixed data'!A39</f>
        <v>Spare mirror</v>
      </c>
      <c r="B41" s="16">
        <f>'Fixed data'!K36</f>
        <v>0.1</v>
      </c>
      <c r="C41" s="16" t="str">
        <f>'Fixed data'!L36</f>
        <v>pc</v>
      </c>
      <c r="D41" s="20"/>
      <c r="E41" s="21">
        <f>I7*B41*'Fixed data'!E4/12</f>
        <v>1</v>
      </c>
      <c r="F41" s="21">
        <f>E41/'Fixed data'!E4</f>
        <v>0.08333333333333333</v>
      </c>
      <c r="G41" s="21">
        <f>E41*'Fixed data'!K6</f>
        <v>2</v>
      </c>
      <c r="H41" s="21">
        <f t="shared" si="0"/>
        <v>3</v>
      </c>
      <c r="I41" s="21">
        <f>'Variable data'!C35+'Variable data'!E35</f>
        <v>200</v>
      </c>
      <c r="J41" s="21">
        <f t="shared" si="5"/>
        <v>2400</v>
      </c>
      <c r="K41" s="21">
        <f aca="true" t="shared" si="9" ref="K41:K56">H41-I41</f>
        <v>-197</v>
      </c>
      <c r="L41" s="21">
        <f aca="true" t="shared" si="10" ref="L41:L56">T41</f>
        <v>0</v>
      </c>
      <c r="M41" s="21" t="str">
        <f>CONCATENATE('Fixed data'!H39,"s")</f>
        <v>pcs</v>
      </c>
      <c r="N41" s="30">
        <f>'Fixed data'!E39</f>
        <v>1</v>
      </c>
      <c r="O41" s="78" t="str">
        <f>CONCATENATE('Fixed data'!F39,'Fixed data'!G39,'Fixed data'!H39)</f>
        <v>pc/pc</v>
      </c>
      <c r="S41" s="15">
        <f aca="true" t="shared" si="11" ref="S41:S56">K41/N41</f>
        <v>-197</v>
      </c>
      <c r="T41" s="15">
        <f aca="true" t="shared" si="12" ref="T41:T56">IF(S41&lt;=0,0,S41)</f>
        <v>0</v>
      </c>
    </row>
    <row r="42" spans="1:20" ht="24.75" customHeight="1">
      <c r="A42" s="178" t="str">
        <f>'Fixed data'!A40</f>
        <v>Spare objective</v>
      </c>
      <c r="B42" s="16">
        <f>'Fixed data'!K37</f>
        <v>0.1</v>
      </c>
      <c r="C42" s="16" t="str">
        <f>'Fixed data'!L37</f>
        <v>pc</v>
      </c>
      <c r="D42" s="20"/>
      <c r="E42" s="21">
        <f>I7*B42*'Fixed data'!E4/12</f>
        <v>1</v>
      </c>
      <c r="F42" s="21">
        <f>E42/'Fixed data'!E4</f>
        <v>0.08333333333333333</v>
      </c>
      <c r="G42" s="21">
        <f>E42*'Fixed data'!K6</f>
        <v>2</v>
      </c>
      <c r="H42" s="21">
        <f t="shared" si="0"/>
        <v>3</v>
      </c>
      <c r="I42" s="21">
        <f>'Variable data'!C36+'Variable data'!E36</f>
        <v>200</v>
      </c>
      <c r="J42" s="21">
        <f t="shared" si="5"/>
        <v>2400</v>
      </c>
      <c r="K42" s="21">
        <f t="shared" si="9"/>
        <v>-197</v>
      </c>
      <c r="L42" s="21">
        <f t="shared" si="10"/>
        <v>0</v>
      </c>
      <c r="M42" s="21" t="str">
        <f>CONCATENATE('Fixed data'!H40,"s")</f>
        <v>pcs</v>
      </c>
      <c r="N42" s="30">
        <f>'Fixed data'!E40</f>
        <v>1</v>
      </c>
      <c r="O42" s="78" t="str">
        <f>CONCATENATE('Fixed data'!F40,'Fixed data'!G40,'Fixed data'!H40)</f>
        <v>pc/pc</v>
      </c>
      <c r="S42" s="15">
        <f t="shared" si="11"/>
        <v>-197</v>
      </c>
      <c r="T42" s="15">
        <f t="shared" si="12"/>
        <v>0</v>
      </c>
    </row>
    <row r="43" spans="1:20" ht="24.75" customHeight="1">
      <c r="A43" s="178" t="str">
        <f>'Fixed data'!A41</f>
        <v>Spare eyepiece</v>
      </c>
      <c r="B43" s="16">
        <f>'Fixed data'!K38</f>
        <v>0.1</v>
      </c>
      <c r="C43" s="16" t="str">
        <f>'Fixed data'!L38</f>
        <v>pc</v>
      </c>
      <c r="D43" s="20"/>
      <c r="E43" s="21">
        <f>I7*B43*'Fixed data'!E4/12</f>
        <v>1</v>
      </c>
      <c r="F43" s="21">
        <f>E43/'Fixed data'!E4</f>
        <v>0.08333333333333333</v>
      </c>
      <c r="G43" s="21">
        <f>E43*'Fixed data'!K6</f>
        <v>2</v>
      </c>
      <c r="H43" s="21">
        <f t="shared" si="0"/>
        <v>3</v>
      </c>
      <c r="I43" s="21">
        <f>'Variable data'!C37+'Variable data'!E37</f>
        <v>200</v>
      </c>
      <c r="J43" s="21">
        <f t="shared" si="5"/>
        <v>2400</v>
      </c>
      <c r="K43" s="21">
        <f t="shared" si="9"/>
        <v>-197</v>
      </c>
      <c r="L43" s="21">
        <f t="shared" si="10"/>
        <v>0</v>
      </c>
      <c r="M43" s="21" t="str">
        <f>CONCATENATE('Fixed data'!H41,"s")</f>
        <v>pcs</v>
      </c>
      <c r="N43" s="30">
        <f>'Fixed data'!E41</f>
        <v>1</v>
      </c>
      <c r="O43" s="78" t="str">
        <f>CONCATENATE('Fixed data'!F41,'Fixed data'!G41,'Fixed data'!H41)</f>
        <v>pc/pc</v>
      </c>
      <c r="S43" s="15">
        <f t="shared" si="11"/>
        <v>-197</v>
      </c>
      <c r="T43" s="15">
        <f t="shared" si="12"/>
        <v>0</v>
      </c>
    </row>
    <row r="44" spans="1:20" ht="24.75" customHeight="1">
      <c r="A44" s="178" t="str">
        <f>'Fixed data'!A42</f>
        <v>Slidebox</v>
      </c>
      <c r="B44" s="16">
        <f>'Fixed data'!K39</f>
        <v>0.3</v>
      </c>
      <c r="C44" s="16" t="str">
        <f>'Fixed data'!L39</f>
        <v>pc</v>
      </c>
      <c r="D44" s="20"/>
      <c r="E44" s="21">
        <f>I7*B44*'Fixed data'!E4/12</f>
        <v>3</v>
      </c>
      <c r="F44" s="21">
        <f>E44/'Fixed data'!E4</f>
        <v>0.25</v>
      </c>
      <c r="G44" s="21">
        <f>E44*'Fixed data'!K6</f>
        <v>6</v>
      </c>
      <c r="H44" s="21">
        <f t="shared" si="0"/>
        <v>9</v>
      </c>
      <c r="I44" s="21">
        <f>'Variable data'!C38+'Variable data'!E38</f>
        <v>200</v>
      </c>
      <c r="J44" s="21">
        <f t="shared" si="5"/>
        <v>800</v>
      </c>
      <c r="K44" s="21">
        <f t="shared" si="9"/>
        <v>-191</v>
      </c>
      <c r="L44" s="21">
        <f t="shared" si="10"/>
        <v>0</v>
      </c>
      <c r="M44" s="21" t="str">
        <f>CONCATENATE('Fixed data'!H42,"s")</f>
        <v>pcs</v>
      </c>
      <c r="N44" s="30">
        <f>'Fixed data'!E42</f>
        <v>1</v>
      </c>
      <c r="O44" s="78" t="str">
        <f>CONCATENATE('Fixed data'!F42,'Fixed data'!G42,'Fixed data'!H42)</f>
        <v>pc/pc</v>
      </c>
      <c r="S44" s="15">
        <f t="shared" si="11"/>
        <v>-191</v>
      </c>
      <c r="T44" s="15">
        <f t="shared" si="12"/>
        <v>0</v>
      </c>
    </row>
    <row r="45" spans="1:20" ht="24.75" customHeight="1">
      <c r="A45" s="178" t="str">
        <f>'Fixed data'!A43</f>
        <v>Filter paper circular</v>
      </c>
      <c r="B45" s="16">
        <f>'Fixed data'!K40</f>
        <v>50</v>
      </c>
      <c r="C45" s="16" t="str">
        <f>'Fixed data'!L40</f>
        <v>pc</v>
      </c>
      <c r="D45" s="20"/>
      <c r="E45" s="21">
        <f>I7*B45*'Fixed data'!E4/12</f>
        <v>500</v>
      </c>
      <c r="F45" s="21">
        <f>E45/'Fixed data'!E4</f>
        <v>41.666666666666664</v>
      </c>
      <c r="G45" s="21">
        <f>E45*'Fixed data'!K6</f>
        <v>1000</v>
      </c>
      <c r="H45" s="21">
        <f t="shared" si="0"/>
        <v>1500</v>
      </c>
      <c r="I45" s="21">
        <f>'Variable data'!C39+'Variable data'!E39</f>
        <v>200</v>
      </c>
      <c r="J45" s="21">
        <f t="shared" si="5"/>
        <v>4.800000000000001</v>
      </c>
      <c r="K45" s="21">
        <f t="shared" si="9"/>
        <v>1300</v>
      </c>
      <c r="L45" s="21">
        <f t="shared" si="10"/>
        <v>13</v>
      </c>
      <c r="M45" s="21" t="str">
        <f>CONCATENATE('Fixed data'!H43,"s")</f>
        <v>boxs</v>
      </c>
      <c r="N45" s="30">
        <f>'Fixed data'!E43</f>
        <v>100</v>
      </c>
      <c r="O45" s="78" t="str">
        <f>CONCATENATE('Fixed data'!F43,'Fixed data'!G43,'Fixed data'!H43)</f>
        <v>pc/box</v>
      </c>
      <c r="S45" s="15">
        <f t="shared" si="11"/>
        <v>13</v>
      </c>
      <c r="T45" s="15">
        <f t="shared" si="12"/>
        <v>13</v>
      </c>
    </row>
    <row r="46" spans="1:20" ht="24.75" customHeight="1">
      <c r="A46" s="179" t="str">
        <f>'Fixed data'!A44</f>
        <v>Staining bottle</v>
      </c>
      <c r="B46" s="16">
        <f>'Fixed data'!K41</f>
        <v>0.3</v>
      </c>
      <c r="C46" s="16" t="str">
        <f>'Fixed data'!L41</f>
        <v>pc</v>
      </c>
      <c r="D46" s="20"/>
      <c r="E46" s="21">
        <f>I7*B46*'Fixed data'!E4/12</f>
        <v>3</v>
      </c>
      <c r="F46" s="21">
        <f>E46/'Fixed data'!E4</f>
        <v>0.25</v>
      </c>
      <c r="G46" s="21">
        <f>E46*'Fixed data'!K6</f>
        <v>6</v>
      </c>
      <c r="H46" s="21">
        <f t="shared" si="0"/>
        <v>9</v>
      </c>
      <c r="I46" s="21">
        <f>'Variable data'!C40+'Variable data'!E40</f>
        <v>200</v>
      </c>
      <c r="J46" s="21">
        <f t="shared" si="5"/>
        <v>800</v>
      </c>
      <c r="K46" s="21">
        <f t="shared" si="9"/>
        <v>-191</v>
      </c>
      <c r="L46" s="21">
        <f t="shared" si="10"/>
        <v>0</v>
      </c>
      <c r="M46" s="21" t="str">
        <f>CONCATENATE('Fixed data'!H44,"s")</f>
        <v>packs</v>
      </c>
      <c r="N46" s="30">
        <f>'Fixed data'!E44</f>
        <v>10</v>
      </c>
      <c r="O46" s="78" t="str">
        <f>CONCATENATE('Fixed data'!F44,'Fixed data'!G44,'Fixed data'!H44)</f>
        <v>pc/pack</v>
      </c>
      <c r="S46" s="15">
        <f t="shared" si="11"/>
        <v>-19.1</v>
      </c>
      <c r="T46" s="15">
        <f t="shared" si="12"/>
        <v>0</v>
      </c>
    </row>
    <row r="47" spans="1:20" ht="24.75" customHeight="1">
      <c r="A47" s="179" t="str">
        <f>'Fixed data'!A45</f>
        <v>Beaker</v>
      </c>
      <c r="B47" s="16">
        <f>'Fixed data'!K42</f>
        <v>0.3</v>
      </c>
      <c r="C47" s="16" t="str">
        <f>'Fixed data'!L42</f>
        <v>pc</v>
      </c>
      <c r="D47" s="20"/>
      <c r="E47" s="21">
        <f>I7*B47*'Fixed data'!E4/12</f>
        <v>3</v>
      </c>
      <c r="F47" s="21">
        <f>E47/'Fixed data'!E4</f>
        <v>0.25</v>
      </c>
      <c r="G47" s="21">
        <f>E47*'Fixed data'!K6</f>
        <v>6</v>
      </c>
      <c r="H47" s="21">
        <f t="shared" si="0"/>
        <v>9</v>
      </c>
      <c r="I47" s="21">
        <f>'Variable data'!C41+'Variable data'!E41</f>
        <v>200</v>
      </c>
      <c r="J47" s="21">
        <f t="shared" si="5"/>
        <v>800</v>
      </c>
      <c r="K47" s="21">
        <f t="shared" si="9"/>
        <v>-191</v>
      </c>
      <c r="L47" s="21">
        <f t="shared" si="10"/>
        <v>0</v>
      </c>
      <c r="M47" s="21" t="str">
        <f>CONCATENATE('Fixed data'!H45,"s")</f>
        <v>packs</v>
      </c>
      <c r="N47" s="30">
        <f>'Fixed data'!E45</f>
        <v>10</v>
      </c>
      <c r="O47" s="78" t="str">
        <f>CONCATENATE('Fixed data'!F45,'Fixed data'!G45,'Fixed data'!H45)</f>
        <v>pc/pack</v>
      </c>
      <c r="S47" s="15">
        <f t="shared" si="11"/>
        <v>-19.1</v>
      </c>
      <c r="T47" s="15">
        <f t="shared" si="12"/>
        <v>0</v>
      </c>
    </row>
    <row r="48" spans="1:20" ht="24.75" customHeight="1">
      <c r="A48" s="179" t="str">
        <f>'Fixed data'!A46</f>
        <v>Dropper bottle</v>
      </c>
      <c r="B48" s="16">
        <f>'Fixed data'!K43</f>
        <v>0.2</v>
      </c>
      <c r="C48" s="16" t="str">
        <f>'Fixed data'!L43</f>
        <v>pc</v>
      </c>
      <c r="D48" s="20"/>
      <c r="E48" s="21">
        <f>I7*B48*'Fixed data'!E4/12</f>
        <v>2</v>
      </c>
      <c r="F48" s="21">
        <f>E48/'Fixed data'!E4</f>
        <v>0.16666666666666666</v>
      </c>
      <c r="G48" s="21">
        <f>E48*'Fixed data'!K6</f>
        <v>4</v>
      </c>
      <c r="H48" s="21">
        <f t="shared" si="0"/>
        <v>6</v>
      </c>
      <c r="I48" s="21">
        <f>'Variable data'!C42+'Variable data'!E42</f>
        <v>200</v>
      </c>
      <c r="J48" s="21">
        <f t="shared" si="5"/>
        <v>1200</v>
      </c>
      <c r="K48" s="21">
        <f t="shared" si="9"/>
        <v>-194</v>
      </c>
      <c r="L48" s="21">
        <f t="shared" si="10"/>
        <v>0</v>
      </c>
      <c r="M48" s="21" t="str">
        <f>CONCATENATE('Fixed data'!H46,"s")</f>
        <v>packs</v>
      </c>
      <c r="N48" s="30">
        <f>'Fixed data'!E46</f>
        <v>10</v>
      </c>
      <c r="O48" s="78" t="str">
        <f>CONCATENATE('Fixed data'!F46,'Fixed data'!G46,'Fixed data'!H46)</f>
        <v>pc/pack</v>
      </c>
      <c r="S48" s="15">
        <f t="shared" si="11"/>
        <v>-19.4</v>
      </c>
      <c r="T48" s="15">
        <f t="shared" si="12"/>
        <v>0</v>
      </c>
    </row>
    <row r="49" spans="1:20" ht="24.75" customHeight="1">
      <c r="A49" s="179" t="str">
        <f>'Fixed data'!A47</f>
        <v>Stock bottle</v>
      </c>
      <c r="B49" s="16">
        <f>'Fixed data'!K44</f>
        <v>0.3</v>
      </c>
      <c r="C49" s="16" t="str">
        <f>'Fixed data'!L44</f>
        <v>pc</v>
      </c>
      <c r="D49" s="20"/>
      <c r="E49" s="21">
        <f>I7*B49*'Fixed data'!E4/12</f>
        <v>3</v>
      </c>
      <c r="F49" s="21">
        <f>E49/'Fixed data'!E4</f>
        <v>0.25</v>
      </c>
      <c r="G49" s="21">
        <f>E49*'Fixed data'!K6</f>
        <v>6</v>
      </c>
      <c r="H49" s="21">
        <f t="shared" si="0"/>
        <v>9</v>
      </c>
      <c r="I49" s="21">
        <f>'Variable data'!C43+'Variable data'!E43</f>
        <v>200</v>
      </c>
      <c r="J49" s="21">
        <f t="shared" si="5"/>
        <v>800</v>
      </c>
      <c r="K49" s="21">
        <f t="shared" si="9"/>
        <v>-191</v>
      </c>
      <c r="L49" s="21">
        <f t="shared" si="10"/>
        <v>0</v>
      </c>
      <c r="M49" s="21" t="str">
        <f>CONCATENATE('Fixed data'!H47,"s")</f>
        <v>cartons</v>
      </c>
      <c r="N49" s="30">
        <f>'Fixed data'!E47</f>
        <v>10</v>
      </c>
      <c r="O49" s="78" t="str">
        <f>CONCATENATE('Fixed data'!F47,'Fixed data'!G47,'Fixed data'!H47)</f>
        <v>pc/carton</v>
      </c>
      <c r="S49" s="15">
        <f t="shared" si="11"/>
        <v>-19.1</v>
      </c>
      <c r="T49" s="15">
        <f t="shared" si="12"/>
        <v>0</v>
      </c>
    </row>
    <row r="50" spans="1:20" ht="24.75" customHeight="1">
      <c r="A50" s="179" t="str">
        <f>'Fixed data'!A48</f>
        <v>Solutions transport container</v>
      </c>
      <c r="B50" s="16">
        <f>'Fixed data'!K45</f>
        <v>0.2</v>
      </c>
      <c r="C50" s="16" t="str">
        <f>'Fixed data'!L45</f>
        <v>pc</v>
      </c>
      <c r="D50" s="20"/>
      <c r="E50" s="21">
        <f>I7*B50*'Fixed data'!E4/12</f>
        <v>2</v>
      </c>
      <c r="F50" s="21">
        <f>E50/'Fixed data'!E4</f>
        <v>0.16666666666666666</v>
      </c>
      <c r="G50" s="21">
        <f>E50*'Fixed data'!K6</f>
        <v>4</v>
      </c>
      <c r="H50" s="21">
        <f t="shared" si="0"/>
        <v>6</v>
      </c>
      <c r="I50" s="21">
        <f>'Variable data'!C44+'Variable data'!E44</f>
        <v>200</v>
      </c>
      <c r="J50" s="21">
        <f t="shared" si="5"/>
        <v>1200</v>
      </c>
      <c r="K50" s="21">
        <f t="shared" si="9"/>
        <v>-194</v>
      </c>
      <c r="L50" s="21">
        <f t="shared" si="10"/>
        <v>0</v>
      </c>
      <c r="M50" s="21" t="str">
        <f>CONCATENATE('Fixed data'!H48,"s")</f>
        <v>pcs</v>
      </c>
      <c r="N50" s="30">
        <f>'Fixed data'!E48</f>
        <v>1</v>
      </c>
      <c r="O50" s="78" t="str">
        <f>CONCATENATE('Fixed data'!F48,'Fixed data'!G48,'Fixed data'!H48)</f>
        <v>pc/pc</v>
      </c>
      <c r="S50" s="15">
        <f t="shared" si="11"/>
        <v>-194</v>
      </c>
      <c r="T50" s="15">
        <f t="shared" si="12"/>
        <v>0</v>
      </c>
    </row>
    <row r="51" spans="1:20" ht="24.75" customHeight="1">
      <c r="A51" s="178" t="str">
        <f>'Fixed data'!A49</f>
        <v>Staining rack</v>
      </c>
      <c r="B51" s="16">
        <f>'Fixed data'!K46</f>
        <v>0.1</v>
      </c>
      <c r="C51" s="16" t="str">
        <f>'Fixed data'!L46</f>
        <v>pc</v>
      </c>
      <c r="D51" s="20"/>
      <c r="E51" s="21">
        <f>I7*B51*'Fixed data'!E4/12</f>
        <v>1</v>
      </c>
      <c r="F51" s="21">
        <f>E51/'Fixed data'!E4</f>
        <v>0.08333333333333333</v>
      </c>
      <c r="G51" s="21">
        <f>E51*'Fixed data'!K6</f>
        <v>2</v>
      </c>
      <c r="H51" s="21">
        <f t="shared" si="0"/>
        <v>3</v>
      </c>
      <c r="I51" s="21">
        <f>'Variable data'!C45+'Variable data'!E45</f>
        <v>200</v>
      </c>
      <c r="J51" s="21">
        <f t="shared" si="5"/>
        <v>2400</v>
      </c>
      <c r="K51" s="21">
        <f t="shared" si="9"/>
        <v>-197</v>
      </c>
      <c r="L51" s="21">
        <f t="shared" si="10"/>
        <v>0</v>
      </c>
      <c r="M51" s="21" t="str">
        <f>CONCATENATE('Fixed data'!H49,"s")</f>
        <v>pcs</v>
      </c>
      <c r="N51" s="30">
        <f>'Fixed data'!E49</f>
        <v>1</v>
      </c>
      <c r="O51" s="78" t="str">
        <f>CONCATENATE('Fixed data'!F49,'Fixed data'!G49,'Fixed data'!H49)</f>
        <v>pc/pc</v>
      </c>
      <c r="S51" s="15">
        <f t="shared" si="11"/>
        <v>-197</v>
      </c>
      <c r="T51" s="15">
        <f t="shared" si="12"/>
        <v>0</v>
      </c>
    </row>
    <row r="52" spans="1:20" ht="24.75" customHeight="1">
      <c r="A52" s="178" t="str">
        <f>'Fixed data'!A50</f>
        <v>Funnel</v>
      </c>
      <c r="B52" s="16">
        <f>'Fixed data'!K47</f>
        <v>0.2</v>
      </c>
      <c r="C52" s="16" t="str">
        <f>'Fixed data'!L47</f>
        <v>pc</v>
      </c>
      <c r="D52" s="20"/>
      <c r="E52" s="21">
        <f>I7*B52*'Fixed data'!E4/12</f>
        <v>2</v>
      </c>
      <c r="F52" s="21">
        <f>E52/'Fixed data'!E4</f>
        <v>0.16666666666666666</v>
      </c>
      <c r="G52" s="21">
        <f>E52*'Fixed data'!K6</f>
        <v>4</v>
      </c>
      <c r="H52" s="21">
        <f t="shared" si="0"/>
        <v>6</v>
      </c>
      <c r="I52" s="21">
        <f>'Variable data'!C46+'Variable data'!E46</f>
        <v>200</v>
      </c>
      <c r="J52" s="21">
        <f t="shared" si="5"/>
        <v>1200</v>
      </c>
      <c r="K52" s="21">
        <f t="shared" si="9"/>
        <v>-194</v>
      </c>
      <c r="L52" s="21">
        <f t="shared" si="10"/>
        <v>0</v>
      </c>
      <c r="M52" s="21" t="str">
        <f>CONCATENATE('Fixed data'!H50,"s")</f>
        <v>packs</v>
      </c>
      <c r="N52" s="30">
        <f>'Fixed data'!E50</f>
        <v>10</v>
      </c>
      <c r="O52" s="78" t="str">
        <f>CONCATENATE('Fixed data'!F50,'Fixed data'!G50,'Fixed data'!H50)</f>
        <v>pc/pack</v>
      </c>
      <c r="S52" s="15">
        <f t="shared" si="11"/>
        <v>-19.4</v>
      </c>
      <c r="T52" s="15">
        <f t="shared" si="12"/>
        <v>0</v>
      </c>
    </row>
    <row r="53" spans="1:20" ht="24.75" customHeight="1">
      <c r="A53" s="178" t="str">
        <f>'Fixed data'!A51</f>
        <v>Disinfectant</v>
      </c>
      <c r="B53" s="16">
        <f>'Fixed data'!K48</f>
        <v>10</v>
      </c>
      <c r="C53" s="16" t="str">
        <f>'Fixed data'!L48</f>
        <v>L</v>
      </c>
      <c r="D53" s="20"/>
      <c r="E53" s="21">
        <f>I7*B53*'Fixed data'!E4/12</f>
        <v>100</v>
      </c>
      <c r="F53" s="21">
        <f>E53/'Fixed data'!E4</f>
        <v>8.333333333333334</v>
      </c>
      <c r="G53" s="21">
        <f>E53*'Fixed data'!K6</f>
        <v>200</v>
      </c>
      <c r="H53" s="21">
        <f t="shared" si="0"/>
        <v>300</v>
      </c>
      <c r="I53" s="21">
        <f>'Variable data'!C47+'Variable data'!E47</f>
        <v>200</v>
      </c>
      <c r="J53" s="21">
        <f t="shared" si="5"/>
        <v>24</v>
      </c>
      <c r="K53" s="21">
        <f t="shared" si="9"/>
        <v>100</v>
      </c>
      <c r="L53" s="21">
        <f t="shared" si="10"/>
        <v>20</v>
      </c>
      <c r="M53" s="21" t="str">
        <f>CONCATENATE('Fixed data'!H51,"s")</f>
        <v>containers</v>
      </c>
      <c r="N53" s="30">
        <f>'Fixed data'!E51</f>
        <v>5</v>
      </c>
      <c r="O53" s="78" t="str">
        <f>CONCATENATE('Fixed data'!F51,'Fixed data'!G51,'Fixed data'!H51)</f>
        <v>L/container</v>
      </c>
      <c r="S53" s="15">
        <f t="shared" si="11"/>
        <v>20</v>
      </c>
      <c r="T53" s="15">
        <f t="shared" si="12"/>
        <v>20</v>
      </c>
    </row>
    <row r="54" spans="1:20" ht="24.75" customHeight="1">
      <c r="A54" s="178" t="str">
        <f>'Fixed data'!A52</f>
        <v>Lab coat</v>
      </c>
      <c r="B54" s="16">
        <f>'Fixed data'!K49</f>
        <v>1</v>
      </c>
      <c r="C54" s="16" t="str">
        <f>'Fixed data'!L49</f>
        <v>pc</v>
      </c>
      <c r="D54" s="20"/>
      <c r="E54" s="21">
        <f>I7*B54*'Fixed data'!E4/12</f>
        <v>10</v>
      </c>
      <c r="F54" s="21">
        <f>E54/'Fixed data'!E4</f>
        <v>0.8333333333333334</v>
      </c>
      <c r="G54" s="21">
        <f>E54*'Fixed data'!K6</f>
        <v>20</v>
      </c>
      <c r="H54" s="21">
        <f t="shared" si="0"/>
        <v>30</v>
      </c>
      <c r="I54" s="21">
        <f>'Variable data'!C48+'Variable data'!E48</f>
        <v>200</v>
      </c>
      <c r="J54" s="21">
        <f t="shared" si="5"/>
        <v>240</v>
      </c>
      <c r="K54" s="21">
        <f t="shared" si="9"/>
        <v>-170</v>
      </c>
      <c r="L54" s="21">
        <f t="shared" si="10"/>
        <v>0</v>
      </c>
      <c r="M54" s="21" t="str">
        <f>CONCATENATE('Fixed data'!H52,"s")</f>
        <v>pcs</v>
      </c>
      <c r="N54" s="30">
        <f>'Fixed data'!E52</f>
        <v>1</v>
      </c>
      <c r="O54" s="78" t="str">
        <f>CONCATENATE('Fixed data'!F52,'Fixed data'!G52,'Fixed data'!H52)</f>
        <v>pc/pc</v>
      </c>
      <c r="S54" s="15">
        <f t="shared" si="11"/>
        <v>-170</v>
      </c>
      <c r="T54" s="15">
        <f t="shared" si="12"/>
        <v>0</v>
      </c>
    </row>
    <row r="55" spans="1:20" ht="24.75" customHeight="1">
      <c r="A55" s="178" t="str">
        <f>'Fixed data'!A53</f>
        <v>Other product calculated per lab</v>
      </c>
      <c r="B55" s="16">
        <f>'Fixed data'!K50</f>
        <v>0</v>
      </c>
      <c r="C55" s="16">
        <f>'Fixed data'!L50</f>
        <v>0</v>
      </c>
      <c r="D55" s="20"/>
      <c r="E55" s="21">
        <f>I7*B55*'Fixed data'!E4/12</f>
        <v>0</v>
      </c>
      <c r="F55" s="21">
        <f>E55/'Fixed data'!E4</f>
        <v>0</v>
      </c>
      <c r="G55" s="21">
        <f>E55*'Fixed data'!K6</f>
        <v>0</v>
      </c>
      <c r="H55" s="21">
        <f t="shared" si="0"/>
        <v>0</v>
      </c>
      <c r="I55" s="21">
        <f>'Variable data'!C49+'Variable data'!E49</f>
        <v>0</v>
      </c>
      <c r="J55" s="21" t="e">
        <f t="shared" si="5"/>
        <v>#DIV/0!</v>
      </c>
      <c r="K55" s="21">
        <f t="shared" si="9"/>
        <v>0</v>
      </c>
      <c r="L55" s="21" t="e">
        <f t="shared" si="10"/>
        <v>#DIV/0!</v>
      </c>
      <c r="M55" s="21" t="str">
        <f>CONCATENATE('Fixed data'!H53,"s")</f>
        <v>0s</v>
      </c>
      <c r="N55" s="30">
        <f>'Fixed data'!E53</f>
        <v>0</v>
      </c>
      <c r="O55" s="78" t="str">
        <f>CONCATENATE('Fixed data'!F53,'Fixed data'!G53,'Fixed data'!H53)</f>
        <v>0/0</v>
      </c>
      <c r="S55" s="15" t="e">
        <f t="shared" si="11"/>
        <v>#DIV/0!</v>
      </c>
      <c r="T55" s="15" t="e">
        <f t="shared" si="12"/>
        <v>#DIV/0!</v>
      </c>
    </row>
    <row r="56" spans="1:20" ht="24.75" customHeight="1">
      <c r="A56" s="178" t="str">
        <f>'Fixed data'!A54</f>
        <v>Other product calculated per lab</v>
      </c>
      <c r="B56" s="16">
        <f>'Fixed data'!K51</f>
        <v>0</v>
      </c>
      <c r="C56" s="16">
        <f>'Fixed data'!L51</f>
        <v>0</v>
      </c>
      <c r="D56" s="20"/>
      <c r="E56" s="21">
        <f>I7*B56*'Fixed data'!E4/12</f>
        <v>0</v>
      </c>
      <c r="F56" s="21">
        <f>E56/'Fixed data'!E4</f>
        <v>0</v>
      </c>
      <c r="G56" s="21">
        <f>E56*'Fixed data'!K6</f>
        <v>0</v>
      </c>
      <c r="H56" s="21">
        <f t="shared" si="0"/>
        <v>0</v>
      </c>
      <c r="I56" s="21">
        <f>'Variable data'!C50+'Variable data'!E50</f>
        <v>0</v>
      </c>
      <c r="J56" s="21" t="e">
        <f t="shared" si="5"/>
        <v>#DIV/0!</v>
      </c>
      <c r="K56" s="21">
        <f t="shared" si="9"/>
        <v>0</v>
      </c>
      <c r="L56" s="21" t="e">
        <f t="shared" si="10"/>
        <v>#DIV/0!</v>
      </c>
      <c r="M56" s="21" t="str">
        <f>CONCATENATE('Fixed data'!H54,"s")</f>
        <v>0s</v>
      </c>
      <c r="N56" s="30">
        <f>'Fixed data'!E54</f>
        <v>0</v>
      </c>
      <c r="O56" s="78" t="str">
        <f>CONCATENATE('Fixed data'!F54,'Fixed data'!G54,'Fixed data'!H54)</f>
        <v>0/0</v>
      </c>
      <c r="S56" s="15" t="e">
        <f t="shared" si="11"/>
        <v>#DIV/0!</v>
      </c>
      <c r="T56" s="15" t="e">
        <f t="shared" si="12"/>
        <v>#DIV/0!</v>
      </c>
    </row>
    <row r="57" ht="30" customHeight="1"/>
    <row r="58" ht="30" customHeight="1"/>
    <row r="59" ht="30" customHeight="1"/>
    <row r="60" ht="30" customHeight="1"/>
    <row r="61" ht="30" customHeight="1"/>
    <row r="62" ht="30" customHeight="1"/>
    <row r="63" ht="30" customHeight="1"/>
    <row r="64" ht="30" customHeight="1"/>
  </sheetData>
  <sheetProtection sheet="1" objects="1" scenarios="1" formatColumns="0" formatRows="0"/>
  <mergeCells count="4">
    <mergeCell ref="A1:P1"/>
    <mergeCell ref="B9:C10"/>
    <mergeCell ref="L9:M9"/>
    <mergeCell ref="L10:M10"/>
  </mergeCells>
  <printOptions/>
  <pageMargins left="0.7480314960629921" right="0.7480314960629921" top="0.984251968503937" bottom="0.984251968503937" header="0.5118110236220472" footer="0.5118110236220472"/>
  <pageSetup fitToHeight="1" fitToWidth="1" horizontalDpi="300" verticalDpi="3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AVD</dc:creator>
  <cp:keywords/>
  <dc:description/>
  <cp:lastModifiedBy>Administrator</cp:lastModifiedBy>
  <cp:lastPrinted>2007-09-15T11:52:21Z</cp:lastPrinted>
  <dcterms:created xsi:type="dcterms:W3CDTF">2007-02-18T15:45:34Z</dcterms:created>
  <dcterms:modified xsi:type="dcterms:W3CDTF">2010-04-01T11:15:01Z</dcterms:modified>
  <cp:category/>
  <cp:version/>
  <cp:contentType/>
  <cp:contentStatus/>
</cp:coreProperties>
</file>