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700" windowHeight="8445" tabRatio="703" activeTab="0"/>
  </bookViews>
  <sheets>
    <sheet name="Sheet1" sheetId="1" r:id="rId1"/>
    <sheet name="Grand Total of Planned Costs" sheetId="2" r:id="rId2"/>
    <sheet name="Budget Cost&amp;Gap" sheetId="3" r:id="rId3"/>
    <sheet name="Governance (w ES office)" sheetId="4" r:id="rId4"/>
    <sheet name="Suppor to Partn &amp; WG" sheetId="5" r:id="rId5"/>
    <sheet name="ACSM part1" sheetId="6" r:id="rId6"/>
    <sheet name="ACSM part2" sheetId="7" r:id="rId7"/>
    <sheet name="ACSM part3" sheetId="8" r:id="rId8"/>
    <sheet name="RES MOB." sheetId="9" r:id="rId9"/>
    <sheet name="Admin&amp;Infrast'l Support" sheetId="10" r:id="rId10"/>
    <sheet name="GDF" sheetId="11" r:id="rId11"/>
  </sheets>
  <definedNames>
    <definedName name="_xlnm.Print_Area" localSheetId="5">'ACSM part1'!$A$1:$M$45</definedName>
    <definedName name="_xlnm.Print_Area" localSheetId="6">'ACSM part2'!$A$1:$N$35</definedName>
    <definedName name="_xlnm.Print_Area" localSheetId="7">'ACSM part3'!$A$1:$L$34</definedName>
    <definedName name="_xlnm.Print_Area" localSheetId="9">'Admin&amp;Infrast''l Support'!$A$1:$M$162</definedName>
    <definedName name="_xlnm.Print_Area" localSheetId="2">'Budget Cost&amp;Gap'!$A$1:$F$39</definedName>
    <definedName name="_xlnm.Print_Area" localSheetId="10">'GDF'!$A$1:$O$254</definedName>
    <definedName name="_xlnm.Print_Area" localSheetId="3">'Governance (w ES office)'!$A$1:$O$52</definedName>
    <definedName name="_xlnm.Print_Area" localSheetId="1">'Grand Total of Planned Costs'!$A$1:$C$17</definedName>
    <definedName name="_xlnm.Print_Area" localSheetId="8">'RES MOB.'!$A$1:$N$63</definedName>
    <definedName name="_xlnm.Print_Area" localSheetId="4">'Suppor to Partn &amp; WG'!$A$1:$N$74</definedName>
    <definedName name="_xlnm.Print_Titles" localSheetId="5">'ACSM part1'!$1:$2</definedName>
    <definedName name="_xlnm.Print_Titles" localSheetId="6">'ACSM part2'!$1:$2</definedName>
    <definedName name="_xlnm.Print_Titles" localSheetId="7">'ACSM part3'!$1:$2</definedName>
    <definedName name="_xlnm.Print_Titles" localSheetId="9">'Admin&amp;Infrast''l Support'!$1:$2</definedName>
    <definedName name="_xlnm.Print_Titles" localSheetId="10">'GDF'!$1:$2</definedName>
    <definedName name="_xlnm.Print_Titles" localSheetId="3">'Governance (w ES office)'!$1:$2</definedName>
    <definedName name="_xlnm.Print_Titles" localSheetId="8">'RES MOB.'!$1:$2</definedName>
    <definedName name="_xlnm.Print_Titles" localSheetId="4">'Suppor to Partn &amp; WG'!$1:$2</definedName>
  </definedNames>
  <calcPr fullCalcOnLoad="1"/>
</workbook>
</file>

<file path=xl/comments4.xml><?xml version="1.0" encoding="utf-8"?>
<comments xmlns="http://schemas.openxmlformats.org/spreadsheetml/2006/main">
  <authors>
    <author>ababor</author>
  </authors>
  <commentList>
    <comment ref="C7" authorId="0">
      <text>
        <r>
          <rPr>
            <b/>
            <sz val="8"/>
            <rFont val="Tahoma"/>
            <family val="0"/>
          </rPr>
          <t>Ababor: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<sst xmlns="http://schemas.openxmlformats.org/spreadsheetml/2006/main" count="937" uniqueCount="692">
  <si>
    <t>Other Exp-Grants</t>
  </si>
  <si>
    <t>Support to Partnerships and Working Groups</t>
  </si>
  <si>
    <t>Administration and Infrastructural Support</t>
  </si>
  <si>
    <t xml:space="preserve">Contractual
Services </t>
  </si>
  <si>
    <t>Direct Fin
Support/country</t>
  </si>
  <si>
    <t>C2. Support to Partnerships and Working Groups</t>
  </si>
  <si>
    <t xml:space="preserve">   SC1. National Partnership Building</t>
  </si>
  <si>
    <t>Task Force on TB and Poverty</t>
  </si>
  <si>
    <t>6.1.</t>
  </si>
  <si>
    <t>TB Vaccine</t>
  </si>
  <si>
    <t>TB Drug</t>
  </si>
  <si>
    <t>TB Diagnostics</t>
  </si>
  <si>
    <t xml:space="preserve">DOTS Plus </t>
  </si>
  <si>
    <t>Working Group Management Staff</t>
  </si>
  <si>
    <t xml:space="preserve">   SC2. Working Group Management</t>
  </si>
  <si>
    <t>Contractual 
Services</t>
  </si>
  <si>
    <t>Publication
Distribution</t>
  </si>
  <si>
    <r>
      <t>Stop TB Partnership calendars for</t>
    </r>
    <r>
      <rPr>
        <strike/>
        <sz val="10"/>
        <rFont val="Arial"/>
        <family val="0"/>
      </rPr>
      <t xml:space="preserve"> </t>
    </r>
    <r>
      <rPr>
        <sz val="10"/>
        <rFont val="Arial"/>
        <family val="0"/>
      </rPr>
      <t>2007</t>
    </r>
  </si>
  <si>
    <t>Capacity building at regional level</t>
  </si>
  <si>
    <t xml:space="preserve">Four training workshops, each in in </t>
  </si>
  <si>
    <t>Manual /guidelines for NTP on patient empowerment and involvement</t>
  </si>
  <si>
    <t>Documentation and analysis of patients experiences</t>
  </si>
  <si>
    <t>Draft guidelines</t>
  </si>
  <si>
    <t>Field testing of draft guidelines</t>
  </si>
  <si>
    <t>Implementation</t>
  </si>
  <si>
    <t>Evaluation</t>
  </si>
  <si>
    <t>Network development</t>
  </si>
  <si>
    <t xml:space="preserve">Participation in meetings, conferences, web development and newsletters </t>
  </si>
  <si>
    <t>Patient Charter</t>
  </si>
  <si>
    <t>Participate in development of the charter</t>
  </si>
  <si>
    <t>Distribution and monitoring of the charter</t>
  </si>
  <si>
    <t xml:space="preserve">Evaluation of the impact of the charter </t>
  </si>
  <si>
    <t>Regional TB courses</t>
  </si>
  <si>
    <t xml:space="preserve">Develop half day training component on patient empowerment and involvement </t>
  </si>
  <si>
    <t>Conducting four courses</t>
  </si>
  <si>
    <t>Patient focal person in the stop TB secretariat</t>
  </si>
  <si>
    <t>Coordinate activities projects and maintain visible the TB affected community with in WHO and TBP</t>
  </si>
  <si>
    <t xml:space="preserve">Document stories on TB patients experiences </t>
  </si>
  <si>
    <t>TB affected community empowerment  staff</t>
  </si>
  <si>
    <t>Torfoss Ted</t>
  </si>
  <si>
    <t>Resp
Officer</t>
  </si>
  <si>
    <t xml:space="preserve">   SC3.TB-affected community empowerment and mobilization</t>
  </si>
  <si>
    <t>TT</t>
  </si>
  <si>
    <t>AT</t>
  </si>
  <si>
    <t>Information management</t>
  </si>
  <si>
    <t>GDF general management staff</t>
  </si>
  <si>
    <t>C6. GDF</t>
  </si>
  <si>
    <t xml:space="preserve">   SC1. Application, Review and Monitoring</t>
  </si>
  <si>
    <t xml:space="preserve">   SC2. Procurement and Supply</t>
  </si>
  <si>
    <t>New service/product line investment strategy and proposal for new service/product line</t>
  </si>
  <si>
    <t>Conduct research and analysis of new product and services</t>
  </si>
  <si>
    <t>Issue focused donors brochures (two)</t>
  </si>
  <si>
    <t>Draft, design , print and distribute brochures</t>
  </si>
  <si>
    <t xml:space="preserve">Design, print, prepare distribution list and distribute calendars </t>
  </si>
  <si>
    <t>Biannual business plan</t>
  </si>
  <si>
    <t xml:space="preserve">Design, print and disseminate the plan </t>
  </si>
  <si>
    <t>Donor business gift and accessories</t>
  </si>
  <si>
    <t>Prepare an item development plan, design and produce and distribute items</t>
  </si>
  <si>
    <t>Resource mobilization staff</t>
  </si>
  <si>
    <t>Hayakawa Motoky</t>
  </si>
  <si>
    <t>Total Partnership</t>
  </si>
  <si>
    <t xml:space="preserve">Salaries </t>
  </si>
  <si>
    <t xml:space="preserve">Travel </t>
  </si>
  <si>
    <t xml:space="preserve">Meeting </t>
  </si>
  <si>
    <t>PSC</t>
  </si>
  <si>
    <t xml:space="preserve">Total </t>
  </si>
  <si>
    <t>Component</t>
  </si>
  <si>
    <t>Activity</t>
  </si>
  <si>
    <t>Capacity building in regions - ACSM at County Level</t>
  </si>
  <si>
    <t>PT</t>
  </si>
  <si>
    <t>Syllable development</t>
  </si>
  <si>
    <t>Trainings</t>
  </si>
  <si>
    <t>Guidelines development</t>
  </si>
  <si>
    <t>Three GFATM training workshops</t>
  </si>
  <si>
    <t>Technical Assistance and consultations</t>
  </si>
  <si>
    <t>Strategic communication focal point at regional level</t>
  </si>
  <si>
    <t>Project management and planning</t>
  </si>
  <si>
    <t xml:space="preserve">Facilitate the formation of ACS partnerships and task forces </t>
  </si>
  <si>
    <t>Research and development of four  new ACS products  and tools</t>
  </si>
  <si>
    <t>Creation of a database for collecting , analyzing and reporting on country level ACS intervention</t>
  </si>
  <si>
    <t>Sub-Group on ACS at Country Level</t>
  </si>
  <si>
    <t>Secretariat functions, meetings, conference calls and administrative coordination</t>
  </si>
  <si>
    <t>Web site maintenance</t>
  </si>
  <si>
    <t>Monitoring evaluation and research of SG work plan</t>
  </si>
  <si>
    <t>Desktop publishing and information dissemination</t>
  </si>
  <si>
    <t>Planning, implementation and conclusion of ACS country level activities</t>
  </si>
  <si>
    <t>Report writing</t>
  </si>
  <si>
    <t>Technical assistance brokering</t>
  </si>
  <si>
    <t>Project management</t>
  </si>
  <si>
    <t>Planning , implementation and conclusion  partnership secretariat ACS team activities</t>
  </si>
  <si>
    <t>Coordination with other Working Groups</t>
  </si>
  <si>
    <t xml:space="preserve">Meetings </t>
  </si>
  <si>
    <t xml:space="preserve">County Level Advocacy team staff </t>
  </si>
  <si>
    <t>Pennas Thaddeus</t>
  </si>
  <si>
    <t>Twal Hanan</t>
  </si>
  <si>
    <t>Directing the work of Stop TB Secretariat and negotiating with WHO and other partners</t>
  </si>
  <si>
    <t>ME</t>
  </si>
  <si>
    <t>Participation in High Level Mission</t>
  </si>
  <si>
    <t>Convening and participating in TBP Coordinating Board meetings</t>
  </si>
  <si>
    <t>Convening and participating in Executive Committee meetings</t>
  </si>
  <si>
    <t>Travel to meet media and for political lobbing</t>
  </si>
  <si>
    <t>Espinal Fuentes Marcos</t>
  </si>
  <si>
    <t>Dolores Corazon R.</t>
  </si>
  <si>
    <t>Holger</t>
  </si>
  <si>
    <t>Consultation</t>
  </si>
  <si>
    <t>Governance</t>
  </si>
  <si>
    <t xml:space="preserve"> </t>
  </si>
  <si>
    <t xml:space="preserve">Partners' Forum </t>
  </si>
  <si>
    <t>LB</t>
  </si>
  <si>
    <t>Logistical arrangements</t>
  </si>
  <si>
    <t>Materials production</t>
  </si>
  <si>
    <t>Promotional activities</t>
  </si>
  <si>
    <t>Administrative support</t>
  </si>
  <si>
    <t>Coordinating Board Meetings (four meetings)</t>
  </si>
  <si>
    <t>Travel by participants</t>
  </si>
  <si>
    <t>Nominated staff participation</t>
  </si>
  <si>
    <t>High Level Missions (HLM)</t>
  </si>
  <si>
    <t>Logistical arrangement</t>
  </si>
  <si>
    <t>TB acceleration seed funding in HLM countries</t>
  </si>
  <si>
    <t>TB Financing Summit</t>
  </si>
  <si>
    <t>Africa TB financing summit</t>
  </si>
  <si>
    <t>Governance activities</t>
  </si>
  <si>
    <t>Enhance engagement with non traditional partners</t>
  </si>
  <si>
    <t>TB Champions/Leaders and External Relations</t>
  </si>
  <si>
    <t>Initiation of grant discussion with EU</t>
  </si>
  <si>
    <t>Governance Staff</t>
  </si>
  <si>
    <t>Baker Louise</t>
  </si>
  <si>
    <t>De Guman Winniefred C.</t>
  </si>
  <si>
    <t>World TB Day (WTBD)</t>
  </si>
  <si>
    <t>ML</t>
  </si>
  <si>
    <t>WTBD work plan and theme</t>
  </si>
  <si>
    <t>Printing &amp; distribution of WTBD materials</t>
  </si>
  <si>
    <t xml:space="preserve">Regionally developed WTBD </t>
  </si>
  <si>
    <t>Press conferences</t>
  </si>
  <si>
    <t>Video news release</t>
  </si>
  <si>
    <t>Enter PE Title</t>
  </si>
  <si>
    <t>Training &amp; networking</t>
  </si>
  <si>
    <t>Media trainings</t>
  </si>
  <si>
    <t>Networking to expand number of TB advocacy partners</t>
  </si>
  <si>
    <t>ACTION project</t>
  </si>
  <si>
    <t>Advocacy strategy for donor countries</t>
  </si>
  <si>
    <t>Media activities</t>
  </si>
  <si>
    <t>Coordinator travel</t>
  </si>
  <si>
    <t>Media relations</t>
  </si>
  <si>
    <t>Press conferences &amp; Donor country media tours</t>
  </si>
  <si>
    <t>Web site</t>
  </si>
  <si>
    <t>SR</t>
  </si>
  <si>
    <t xml:space="preserve">Editorial  management, production of new content &amp; on line fundraising </t>
  </si>
  <si>
    <t>Internal communication (with in TB community)</t>
  </si>
  <si>
    <t>Communiqués  &amp;  e-forums</t>
  </si>
  <si>
    <t>Surveys</t>
  </si>
  <si>
    <t>Product development</t>
  </si>
  <si>
    <t>Writing , editing , design &amp; layout of published materials, reports , info packs, CD/DVD</t>
  </si>
  <si>
    <t>Information products</t>
  </si>
  <si>
    <t>Printing and distribution</t>
  </si>
  <si>
    <t xml:space="preserve">Audio/Video products </t>
  </si>
  <si>
    <t>Audio visual product &amp; educative films</t>
  </si>
  <si>
    <t>Advocacy Communication &amp; Social Mobilization working group support</t>
  </si>
  <si>
    <t>Meetings and formulation of working group work plan</t>
  </si>
  <si>
    <t>Web site maintenance, conference calls, reports and information dissemination</t>
  </si>
  <si>
    <t>Coordination with other working groups</t>
  </si>
  <si>
    <t>Global plan two launch coordination &amp; web site maintenance</t>
  </si>
  <si>
    <t>General management</t>
  </si>
  <si>
    <t>Retreats, PMDS, meetings, personal &amp; human resource management</t>
  </si>
  <si>
    <t>Global Advocacy Staff</t>
  </si>
  <si>
    <t>Luhan Michael</t>
  </si>
  <si>
    <t>Rozario Shalu</t>
  </si>
  <si>
    <t>Burnier Isabelle</t>
  </si>
  <si>
    <t xml:space="preserve">Travel  </t>
  </si>
  <si>
    <t>Transl. Publishing and Distribution</t>
  </si>
  <si>
    <t>Supplies and materials</t>
  </si>
  <si>
    <t xml:space="preserve">          PSC</t>
  </si>
  <si>
    <t>Product/Service</t>
  </si>
  <si>
    <t>Grant agreements with new donors</t>
  </si>
  <si>
    <t>AV</t>
  </si>
  <si>
    <t xml:space="preserve">Draft grant agreements with new donors </t>
  </si>
  <si>
    <t>Negotiate and finalise donor agreement</t>
  </si>
  <si>
    <t>Follow up of donor agreements</t>
  </si>
  <si>
    <t>Update donor profiles</t>
  </si>
  <si>
    <t>Hold donor meetings</t>
  </si>
  <si>
    <t>Donor survey</t>
  </si>
  <si>
    <t>Update survey</t>
  </si>
  <si>
    <t>Meetings on donor resource tacking</t>
  </si>
  <si>
    <t>Obtain revenue data</t>
  </si>
  <si>
    <t>Map WHO data set to TBP data set</t>
  </si>
  <si>
    <t>Financial flow from budgetary support &amp; SWAP for TB control</t>
  </si>
  <si>
    <t>Undertake study</t>
  </si>
  <si>
    <t>Disseminate reports</t>
  </si>
  <si>
    <t>Donor  financial report</t>
  </si>
  <si>
    <t>Prepare Financial Reports</t>
  </si>
  <si>
    <t>Technical reports</t>
  </si>
  <si>
    <t>Obtaining progress report from receipients of funds</t>
  </si>
  <si>
    <t>Compile reports for donors</t>
  </si>
  <si>
    <t>Quarterly appropriation report</t>
  </si>
  <si>
    <t>NA</t>
  </si>
  <si>
    <t xml:space="preserve">Complie appropriation requests  </t>
  </si>
  <si>
    <t>Review allotment utilisation, available fund and make recommendation for allotment</t>
  </si>
  <si>
    <t xml:space="preserve">Monthly Financial Statements </t>
  </si>
  <si>
    <t>Prepare monthly cash statements</t>
  </si>
  <si>
    <t>Prepare allotment balances for TBP units</t>
  </si>
  <si>
    <t xml:space="preserve">Developing a Model  </t>
  </si>
  <si>
    <t>Obtaining data from the Financial System</t>
  </si>
  <si>
    <t>Partnership and GDF financial reports</t>
  </si>
  <si>
    <t>Obtain data from WHO system  and UN web buy</t>
  </si>
  <si>
    <t>Analyse data and prepare financial reports</t>
  </si>
  <si>
    <t>Check  financial reports</t>
  </si>
  <si>
    <t>Procurement  Agreements</t>
  </si>
  <si>
    <t>Draft procurement agent agreements</t>
  </si>
  <si>
    <t>Review financial and legal aspect of agent agreements</t>
  </si>
  <si>
    <t xml:space="preserve">Coordinate amendement and extension of agreements </t>
  </si>
  <si>
    <t>Payment to procurement agent(s) PA</t>
  </si>
  <si>
    <t>Check PA invoices, and match with firm purchase orders, check supporting documents and prepare payment request</t>
  </si>
  <si>
    <t>Monitor implementation of contractual terms</t>
  </si>
  <si>
    <t>Review invoices and payment requests and clear payments</t>
  </si>
  <si>
    <t>Manage Operational Flow of work</t>
  </si>
  <si>
    <t>Check APW for financial and procedural accuracy</t>
  </si>
  <si>
    <t xml:space="preserve">Check adjudication reports </t>
  </si>
  <si>
    <t>Clear APW payments</t>
  </si>
  <si>
    <t>Operate Internal Financial Control</t>
  </si>
  <si>
    <t>Implement control in Revenue, Payment, Procurement cycles</t>
  </si>
  <si>
    <t>Financial management system for  TBP</t>
  </si>
  <si>
    <t>Prepare the architecture of a financial management system using data from AFI and other  centralised system of WHO</t>
  </si>
  <si>
    <t>Select a platform and implement the architecture</t>
  </si>
  <si>
    <t>Supervision and Review of all Financial Operations</t>
  </si>
  <si>
    <t>Computerised finacial management system</t>
  </si>
  <si>
    <t>Design the system as per agreed Arcitecture</t>
  </si>
  <si>
    <t>Test computerised FM system</t>
  </si>
  <si>
    <t>Operate the system to generate reports required</t>
  </si>
  <si>
    <t>Tools for performace assessement</t>
  </si>
  <si>
    <t xml:space="preserve">Design financial analytics for performance measurement </t>
  </si>
  <si>
    <t>PRSP toolkit for mainstreaming  TB control into  PRSPs</t>
  </si>
  <si>
    <t>Design and dvelop the toolkit</t>
  </si>
  <si>
    <t xml:space="preserve">Hold consultative workshops with stakeholders </t>
  </si>
  <si>
    <t>Finalise and print Toolkit including CD ROM version</t>
  </si>
  <si>
    <t>Workplan 2008 - 2009</t>
  </si>
  <si>
    <t xml:space="preserve">Compile and input data  </t>
  </si>
  <si>
    <t>Ababor Nejib</t>
  </si>
  <si>
    <t>Baclig Luz</t>
  </si>
  <si>
    <t>Johnson Eben</t>
  </si>
  <si>
    <t>Manage grant to receipients</t>
  </si>
  <si>
    <t>Prepare grant agreements</t>
  </si>
  <si>
    <t>Monitor grant agreements</t>
  </si>
  <si>
    <t>Progress reports 2005 &amp; 2006</t>
  </si>
  <si>
    <t>Draft report text</t>
  </si>
  <si>
    <t>Design and print reports</t>
  </si>
  <si>
    <t>Disseminate the reports</t>
  </si>
  <si>
    <t>Five year achievement report</t>
  </si>
  <si>
    <t xml:space="preserve">Design and  editing </t>
  </si>
  <si>
    <t>Print and disseminate</t>
  </si>
  <si>
    <t>External evaluation of partnership and GDF</t>
  </si>
  <si>
    <t xml:space="preserve">Issue RFP and select consultants </t>
  </si>
  <si>
    <t>Arrange for a schedule of work for the consultants</t>
  </si>
  <si>
    <t xml:space="preserve">Receive and discuss final draft </t>
  </si>
  <si>
    <t xml:space="preserve">Excom meeting for discussing the report </t>
  </si>
  <si>
    <t>Finalisation and dissemination of the report</t>
  </si>
  <si>
    <t>Preparing response to the evaluation report</t>
  </si>
  <si>
    <t>Preparing next step for implementing accepted recommendations</t>
  </si>
  <si>
    <t>Manage Human Resource Services</t>
  </si>
  <si>
    <t>Prepare documents for contract management extension, financing etc</t>
  </si>
  <si>
    <t>Prepare financial requirement schedule for staff</t>
  </si>
  <si>
    <t>Review HR management of work</t>
  </si>
  <si>
    <t>MOU with WHO</t>
  </si>
  <si>
    <t>Drafting MOU</t>
  </si>
  <si>
    <t>Supporting the CB members for negotiation</t>
  </si>
  <si>
    <t xml:space="preserve">Weerasinghe Roy, Sulo </t>
  </si>
  <si>
    <t>Stop TB partnership web site</t>
  </si>
  <si>
    <t>RM</t>
  </si>
  <si>
    <t>Update the content of the TBP web site and its sub sites</t>
  </si>
  <si>
    <t>Implement a content management system for web site</t>
  </si>
  <si>
    <t xml:space="preserve">APW for content management system implementation </t>
  </si>
  <si>
    <t>Web site architecture , design, management and monitoring</t>
  </si>
  <si>
    <t xml:space="preserve">keep the weekly news items and events calander updated </t>
  </si>
  <si>
    <t>World TB day 2006 &amp; 2007</t>
  </si>
  <si>
    <t>Design and build the world TB day 2006 &amp; 2007 sites</t>
  </si>
  <si>
    <t>Stop TB partnership mail list and email box</t>
  </si>
  <si>
    <t>Manage and maintain the mailing list</t>
  </si>
  <si>
    <t>Read incoming emails and reply or forward it as needed</t>
  </si>
  <si>
    <t>Advocacy mailing</t>
  </si>
  <si>
    <t>Build and send announcements, newsletters and communiqués</t>
  </si>
  <si>
    <t>Business server</t>
  </si>
  <si>
    <t xml:space="preserve">Check the server logs, security and insure proper functionality  </t>
  </si>
  <si>
    <t>New server</t>
  </si>
  <si>
    <t>Application maintenace and development</t>
  </si>
  <si>
    <t>Maintain update the existing secretariat applications</t>
  </si>
  <si>
    <t xml:space="preserve">Design and develop new IT solutions where appropriate to meet emerging sevretariat business needs </t>
  </si>
  <si>
    <t>Global plan II</t>
  </si>
  <si>
    <t xml:space="preserve">Develop the Global PIan II site using the vendor supplied templates </t>
  </si>
  <si>
    <t>TR</t>
  </si>
  <si>
    <t>Web based resources mobiliszation</t>
  </si>
  <si>
    <t>Work with the resource mobilisation officer to implement an online donation system</t>
  </si>
  <si>
    <t>Third partner's forum web site</t>
  </si>
  <si>
    <t>Design and build the Third Partner's Forum web site</t>
  </si>
  <si>
    <t>IT strategic &amp; IT work plan</t>
  </si>
  <si>
    <t>Prepare and maintain the IT strategic plan</t>
  </si>
  <si>
    <t>Prepare and maintain the IT work plan</t>
  </si>
  <si>
    <t>User support</t>
  </si>
  <si>
    <t>Assist users with their IT issues</t>
  </si>
  <si>
    <t>Liaise with WHO IT staff as needed</t>
  </si>
  <si>
    <t>Receive services from central IT department</t>
  </si>
  <si>
    <t xml:space="preserve">Repositoire of guidelines, best practices and standard operating procedures </t>
  </si>
  <si>
    <t xml:space="preserve">Compile guidelines, best practicies and SOPs in on line place </t>
  </si>
  <si>
    <t>Help TBP staff adhere to guidelines, SOPs and best practicies</t>
  </si>
  <si>
    <t>Hardware inventory</t>
  </si>
  <si>
    <t>Manage the harware inventory</t>
  </si>
  <si>
    <t>New hardware and software procurement</t>
  </si>
  <si>
    <t>Administrative support and CD/DVD duplication</t>
  </si>
  <si>
    <t>Run duplication job as specified in the plan</t>
  </si>
  <si>
    <t>Handle administrative task and process administrative formes</t>
  </si>
  <si>
    <t>Secretariat work planning system  based on the TBP work plan</t>
  </si>
  <si>
    <t>Design and build a shared point system for work planning</t>
  </si>
  <si>
    <t xml:space="preserve">Set up the intergration with AMS </t>
  </si>
  <si>
    <t>Financial reporting interface</t>
  </si>
  <si>
    <t>Advise on the selection of the package</t>
  </si>
  <si>
    <t>New shared drive structure</t>
  </si>
  <si>
    <t>Partners' Directory</t>
  </si>
  <si>
    <t>Maintain, design and develop the Partners' Directory as needed</t>
  </si>
  <si>
    <t>National Partnership IT Package</t>
  </si>
  <si>
    <t>Develop an IT package containing identified components to aid and enhance the IT capacity of the exisiting national partnerships</t>
  </si>
  <si>
    <t>Establish a mechanisim for delivering the IT package to the national partnerships</t>
  </si>
  <si>
    <t>Consolidate the contents of all the national level partners directories at the global level</t>
  </si>
  <si>
    <t>Information Technology staff</t>
  </si>
  <si>
    <t>Maggi Richard</t>
  </si>
  <si>
    <t xml:space="preserve">Component </t>
  </si>
  <si>
    <t>Contractual Services</t>
  </si>
  <si>
    <t xml:space="preserve"> Publication
Distribution</t>
  </si>
  <si>
    <t>Resp.
Officer</t>
  </si>
  <si>
    <t>Direct Fin
Support/  country</t>
  </si>
  <si>
    <t>Direct Fin
support/   country</t>
  </si>
  <si>
    <t xml:space="preserve">   SC1. Global Advocacy and SM </t>
  </si>
  <si>
    <t xml:space="preserve">   SC2. Country Level Advocacy and Communication and SM</t>
  </si>
  <si>
    <t>Total Component Cost</t>
  </si>
  <si>
    <t>Enhanced donor relationships</t>
  </si>
  <si>
    <t xml:space="preserve"> Publication
Distribution
</t>
  </si>
  <si>
    <t>Gen.
Expenses</t>
  </si>
  <si>
    <t>Adoption, translation of ACSM tools for country level</t>
  </si>
  <si>
    <t>C1. Governance</t>
  </si>
  <si>
    <t xml:space="preserve">Product/Service </t>
  </si>
  <si>
    <t>Executive Secretary Office Staff</t>
  </si>
  <si>
    <t xml:space="preserve">   SC1. Executive Secretary's Office</t>
  </si>
  <si>
    <t>Salary Dermot</t>
  </si>
  <si>
    <t>Global Plan</t>
  </si>
  <si>
    <t>DM</t>
  </si>
  <si>
    <t>External Relations</t>
  </si>
  <si>
    <t>Total Sub-component Cost</t>
  </si>
  <si>
    <t>Salaries</t>
  </si>
  <si>
    <t xml:space="preserve">   SC1. Existing Donor Relations</t>
  </si>
  <si>
    <t>Restructure the first level folder</t>
  </si>
  <si>
    <t xml:space="preserve">   SC2. Financial Management</t>
  </si>
  <si>
    <t xml:space="preserve">   SC4. Information Technology</t>
  </si>
  <si>
    <t>Financial and Operations Management Staff</t>
  </si>
  <si>
    <t>Anant Vijay</t>
  </si>
  <si>
    <t>Financial Forecasts</t>
  </si>
  <si>
    <t xml:space="preserve">   SC3. Personnel and General administration</t>
  </si>
  <si>
    <t>Components</t>
  </si>
  <si>
    <t>Advocacy, Communication and Social Mobilization</t>
  </si>
  <si>
    <t>Global TB Drug Facility</t>
  </si>
  <si>
    <t>Resource Mobilization</t>
  </si>
  <si>
    <t xml:space="preserve">GRAND TOTAL </t>
  </si>
  <si>
    <t xml:space="preserve">Contractual </t>
  </si>
  <si>
    <t xml:space="preserve"> Publication</t>
  </si>
  <si>
    <t xml:space="preserve">Supplies </t>
  </si>
  <si>
    <t>Application and review process for GDF</t>
  </si>
  <si>
    <t xml:space="preserve">Announcement for applications for GDF grants for 1st line TB drugs and DP and diagnostics  </t>
  </si>
  <si>
    <t>Regular update of all applications to include baseline indicators to ensure harmonization with CV guidelines and monitoring checklist</t>
  </si>
  <si>
    <t>Coordinate GDF applications with GFATM</t>
  </si>
  <si>
    <t>Screening and review of applications for first line drugs and diagnostics by the technical review committee (TRC)</t>
  </si>
  <si>
    <t>Coordination of TRC meetinsg</t>
  </si>
  <si>
    <t>TRC meeting</t>
  </si>
  <si>
    <t>TRC logistics</t>
  </si>
  <si>
    <t>Update TOR for TRC to include diagnostics and pediatrics</t>
  </si>
  <si>
    <t>TRC minutes produced and distributed</t>
  </si>
  <si>
    <t>Follow up on recommendation made from the TRC to the country, partners and GDF</t>
  </si>
  <si>
    <t>Development of mechanisim for DP review</t>
  </si>
  <si>
    <t>Pre delivery missions for GDF applications</t>
  </si>
  <si>
    <t>Mission information including SOW and documents updated for consultant</t>
  </si>
  <si>
    <t>Distribution of recommendation from pre delivery missions to all stakholders</t>
  </si>
  <si>
    <t xml:space="preserve">Grant agreement for GDF (1st, 2nd and 3rd year) </t>
  </si>
  <si>
    <t>Technical agreements for direct procurement (DP)</t>
  </si>
  <si>
    <t>Develop application mechanism for TB diagnostics</t>
  </si>
  <si>
    <t>Update and monitor the KMS with all country information on application and review</t>
  </si>
  <si>
    <t>Coordination of GDF application  and review activities</t>
  </si>
  <si>
    <t>GDF monitoring, GDF monitoring review and review of processes and documents</t>
  </si>
  <si>
    <t>Streamline mechanisims to follow up on recommendations from TRC, desk audit and monitoring missions to NTP, partners and GDF</t>
  </si>
  <si>
    <t>Develop diagnostic indicators and mechanism for diagnostics</t>
  </si>
  <si>
    <t>Develop monitoring mechanism</t>
  </si>
  <si>
    <t>Develop monitoring mechanism for pediatrics</t>
  </si>
  <si>
    <t>Review and update first line TB drug inidcator to assess GDF impact on countries</t>
  </si>
  <si>
    <t>Update standard monitoring checklist  tool for assessement of first line TB drugs for grant and DP</t>
  </si>
  <si>
    <t>Collect annual and quarterly reports</t>
  </si>
  <si>
    <t xml:space="preserve">Monitoring mission to GDF supported countries </t>
  </si>
  <si>
    <t xml:space="preserve">Keep all mission information including SOW and documents updated for consultants </t>
  </si>
  <si>
    <t xml:space="preserve">Distribute recommendations from monitoring missions to appropriate stakeholders </t>
  </si>
  <si>
    <t>Assessement of monitoring dossier by GDF desk audit agency</t>
  </si>
  <si>
    <t>Update and monitor KMS with all coutry information for  monitoring</t>
  </si>
  <si>
    <t xml:space="preserve">Ongoing development of monitoring processes and documents </t>
  </si>
  <si>
    <t>Participation in TB coordination meeting</t>
  </si>
  <si>
    <t>Establishing and collaborating with regional focal points</t>
  </si>
  <si>
    <t>Coordination of GDF monitoring activities</t>
  </si>
  <si>
    <t>Improve drug management in GDF supported countries</t>
  </si>
  <si>
    <t>Involvement in regional drug management (DM) meetings</t>
  </si>
  <si>
    <t>Develop an external partner coordination mechanisim for DM issues identified through GDF</t>
  </si>
  <si>
    <t>Provideing DM recommendations to countries from TRC</t>
  </si>
  <si>
    <t>Providing recommendations to countries from monitoring mission</t>
  </si>
  <si>
    <t xml:space="preserve">Pre delivery mission to include collection of standardized data on DM </t>
  </si>
  <si>
    <t>Training of consultants in every region</t>
  </si>
  <si>
    <t>Technical Assistance (TA) service line in drug management</t>
  </si>
  <si>
    <t xml:space="preserve">Developement of the TA service line  strategy in collaborataion with TRC </t>
  </si>
  <si>
    <t>GDF proposed TA service line to coordinating board</t>
  </si>
  <si>
    <t>Public announcement of new TA services</t>
  </si>
  <si>
    <t>Developement of of advocacy and communication materials for new TA services</t>
  </si>
  <si>
    <t>TA service line implemented</t>
  </si>
  <si>
    <t xml:space="preserve">Evaluation of TA service line </t>
  </si>
  <si>
    <t>Strategy development in collaboration with DEWG and PSM to promote use of FDCs</t>
  </si>
  <si>
    <t>Regular meeting with DEWG, PSM, GFATM, MSH, JSI to update and collaborate with DM issues</t>
  </si>
  <si>
    <t>Partner mobilization</t>
  </si>
  <si>
    <t>Map and update on regular basis STB partners and their activities in all countries receiving GDF drugs</t>
  </si>
  <si>
    <t>Prepare template letter outlining the role of GDF and expectations of partner provided TA to be sent to principal partners following grant approval</t>
  </si>
  <si>
    <t>GDF staff member to serve as focal point on the recently formed ad-hoc working group on technical support (TBS)</t>
  </si>
  <si>
    <t>GDF Application review and monitoting staff</t>
  </si>
  <si>
    <t>Castel Helen</t>
  </si>
  <si>
    <t>Hernandez Homero Luis</t>
  </si>
  <si>
    <t>Kogevinas Desiree</t>
  </si>
  <si>
    <t xml:space="preserve">Perrin Jeanne-Françoise </t>
  </si>
  <si>
    <t>Thomas Adam</t>
  </si>
  <si>
    <t xml:space="preserve">Improved quality of 1st and 2nd line TB drugs </t>
  </si>
  <si>
    <t>Commission, maintain and safeguard  on-going pre qualification project</t>
  </si>
  <si>
    <t>Issue expression of interest (EOI) for participation in pre-qualification process and posting on web and IDBR</t>
  </si>
  <si>
    <t xml:space="preserve">Receipt of EOIs and issuance of guidelines for dossier submission by PSM/QSM   </t>
  </si>
  <si>
    <t xml:space="preserve">Review of product dossiers from suppliers by PSM/QSM </t>
  </si>
  <si>
    <t>GMP physical site inspection of manufacturers by PSM/QSM</t>
  </si>
  <si>
    <t xml:space="preserve">Coordination with QSM, regular update monthly meeting </t>
  </si>
  <si>
    <t>Training workshop with manufacturers &amp; NRA officials</t>
  </si>
  <si>
    <t>Creation of roster of consultants providing TA to suppliers participating in pre-qualification project</t>
  </si>
  <si>
    <t>Selection of new GDF suppliers 1st and 2nd line TB drugs</t>
  </si>
  <si>
    <t xml:space="preserve">Provide input to procurument agent (PA) for finalization of ITB letter (forecast, list of eligible products per supplier, guidelines on stockpile management, branding, packaging templates)  </t>
  </si>
  <si>
    <t>Provide input on final LTAs</t>
  </si>
  <si>
    <t>Assist PA with adjudication of bids (technical)</t>
  </si>
  <si>
    <t>Selection of new GDF 1st line procurument agent</t>
  </si>
  <si>
    <t>Issue EOI to procurument agents (publish in website, IDBR, scrip/ Economist)</t>
  </si>
  <si>
    <t xml:space="preserve">Prepare , issue RFP, adjusdicaion of proposals for PAs and contracting of new PA  </t>
  </si>
  <si>
    <t xml:space="preserve">Efficient supply of quality 1st and 2nd line anti TB drugs </t>
  </si>
  <si>
    <t>Placing order with PA for grant and DP (1st line)</t>
  </si>
  <si>
    <t>Monitor order request and placement by project to PA (2nd line)</t>
  </si>
  <si>
    <t>Cost of drug 1st line</t>
  </si>
  <si>
    <t>Cost of drug 2nd line</t>
  </si>
  <si>
    <t>Quality control and pre-shipment inspection comment on QC agent remarks (1st line)</t>
  </si>
  <si>
    <t xml:space="preserve">QC and pre-shipment comment on QC agent remarks (2nd line) </t>
  </si>
  <si>
    <t>Shipping, freight and insurance (1st line)</t>
  </si>
  <si>
    <t xml:space="preserve">Shipping, freight and insurance (2nd line) </t>
  </si>
  <si>
    <t xml:space="preserve">Information management (hard copy and electronic filing ). Sharepoint organization and updating in PRS secion   </t>
  </si>
  <si>
    <t xml:space="preserve">Improved delivery lead times and monitoring of supply through close coordination of supply agents for 1st and 2nd line drugs and effective management of anti-TB drugs stockpile(s)  </t>
  </si>
  <si>
    <t>Regular communication and video conferences (booking of conference facilities)</t>
  </si>
  <si>
    <t>Super team meetings with contractual partners for supply</t>
  </si>
  <si>
    <t>Management tool to monitor agent performance and lead time</t>
  </si>
  <si>
    <t xml:space="preserve">Monitor implementation of SOPs to ensure efficient payment of PA </t>
  </si>
  <si>
    <t xml:space="preserve">Develop and take action on reports generated from system </t>
  </si>
  <si>
    <t xml:space="preserve">Accurate forcasting of 1st and 2nd line anti TB drug needs </t>
  </si>
  <si>
    <t>Forecasting: Develop accurate quarterly forecasts in conjunction with ARM, GMS, &amp; PA for suppliers</t>
  </si>
  <si>
    <t xml:space="preserve">Develop a procurement and distribution strategy for diagnostics equipment  </t>
  </si>
  <si>
    <t>Completion of pilot study for dagnostic kits</t>
  </si>
  <si>
    <t>Revise specifications of diagnostic kits based on outcomes of pilot studies and comparative  assessement of microscope kits from different suppliers</t>
  </si>
  <si>
    <t>Efficient supply of diagnostics equipment</t>
  </si>
  <si>
    <t>Finalize Pilot assessments</t>
  </si>
  <si>
    <t xml:space="preserve">Provide input to PA agent for ITB process , EOI, ITB, adjudication, contracting and issue of RFP  </t>
  </si>
  <si>
    <t>Placing order with PA for grant and DP</t>
  </si>
  <si>
    <t>Cost of kits</t>
  </si>
  <si>
    <t>Quality control and pre-shippment inspection and comment on QC agent remarks</t>
  </si>
  <si>
    <t>Shipping, freight and insurance</t>
  </si>
  <si>
    <t>Plan capacity building initiatives for clients with weak procurement and quality assurance system</t>
  </si>
  <si>
    <t xml:space="preserve">Consult partners and donors in palnning process. Develop plan and identify clients for implementation in 2006 </t>
  </si>
  <si>
    <t>Update TB drug market survey report, 1st and 2nd line</t>
  </si>
  <si>
    <t xml:space="preserve">Produce, distribute and analyse questionaires </t>
  </si>
  <si>
    <t>GDF procurement and supply staff</t>
  </si>
  <si>
    <t>Adu Vitalis</t>
  </si>
  <si>
    <t>Procurement Officer (P3)</t>
  </si>
  <si>
    <t xml:space="preserve">Vrakking Hugo </t>
  </si>
  <si>
    <t>Demand assessment for GDF servicies (drugs , direct procurment and related products)</t>
  </si>
  <si>
    <t>Assess demand for 1st and 2nd line TB drugs and related  products and resource gap</t>
  </si>
  <si>
    <t>Contract demand assessement for 1st &amp; 2nd line TB drugs and related products</t>
  </si>
  <si>
    <t>Assess the demand for NGO applications  for 1st &amp; 2nd line drugs and related products</t>
  </si>
  <si>
    <t>Contract demand assessement for NGO applications for 1st &amp; 2nd line TB drugs and related products</t>
  </si>
  <si>
    <t>Assess demand for Direct Procurement (DP) by international agencies including GFATM, World Bank, regional banks and other major donors and develop marketing strategy for DP</t>
  </si>
  <si>
    <t xml:space="preserve">Contract demand for DP </t>
  </si>
  <si>
    <t>Finalize marketing strategy</t>
  </si>
  <si>
    <t>Implementation of strategy</t>
  </si>
  <si>
    <t>Technical Assistance Service (TA)</t>
  </si>
  <si>
    <t>Develop strategy for formal TA service provision</t>
  </si>
  <si>
    <t>Secure funding for TA service including human resources</t>
  </si>
  <si>
    <t>Maintain linkage with other TA service providers</t>
  </si>
  <si>
    <t>Implement starategy</t>
  </si>
  <si>
    <t>Hire staff</t>
  </si>
  <si>
    <t>Ensure liaison with ARM</t>
  </si>
  <si>
    <t>Communication strategy for GDF</t>
  </si>
  <si>
    <t>Design strategy covering all aspects fo GDF external and internal PR and advocacy initiatives</t>
  </si>
  <si>
    <t>GDF public relations</t>
  </si>
  <si>
    <t xml:space="preserve">Branding of GDF: marketing GDF brand as one of the most efficient, innovative and effective global health mechanisims available   </t>
  </si>
  <si>
    <t>Presentation to key stakeholders (external PR)</t>
  </si>
  <si>
    <t>Road show to key partners/donors</t>
  </si>
  <si>
    <t xml:space="preserve">Client development/relations </t>
  </si>
  <si>
    <t>Presentation to key stakeholders (internal PR)</t>
  </si>
  <si>
    <t>Coordination with AMDS and MMSS</t>
  </si>
  <si>
    <t xml:space="preserve">Coordination with internal (WHO-HQ &amp; RO) technical partners: TBS/THD/TME, RAs, PSM/QSM </t>
  </si>
  <si>
    <t xml:space="preserve">Coordination with internal (WHO) executive and administrative officies:DGO, HR, FIN, country coordination,  publication etc   </t>
  </si>
  <si>
    <t>Advocacy GDF</t>
  </si>
  <si>
    <t xml:space="preserve">Electronic promotional tools, enhance and develop new fact sheets, brochurs and other advocacy  materials </t>
  </si>
  <si>
    <t xml:space="preserve">Review GDF fact sheets and other advocacy materials and identify gaps or changes required     </t>
  </si>
  <si>
    <t>Update existing advocacy materials as required</t>
  </si>
  <si>
    <t>Contract developemnt of missing advocacy materials</t>
  </si>
  <si>
    <t>Distribute update GDF advocacy materials including drug shipment</t>
  </si>
  <si>
    <t>Publish GDF newletter - 2 issue  and distribute to all partners</t>
  </si>
  <si>
    <t>Plan news letter development and delivery</t>
  </si>
  <si>
    <t>Distribute newsletter (paper and web)</t>
  </si>
  <si>
    <t>Contract production of newletter text and design</t>
  </si>
  <si>
    <t xml:space="preserve">Media video documentary system on GDF </t>
  </si>
  <si>
    <t>Identify key messages and objectives of video documentary</t>
  </si>
  <si>
    <t>Contract development, filming and post production work for documentary</t>
  </si>
  <si>
    <t xml:space="preserve">work with partners and advocacy focal points to promote and target distribution of documentary </t>
  </si>
  <si>
    <t>Improve GDF advocacy pack/define distribution</t>
  </si>
  <si>
    <t>Define objectives and contents of GDF advocacy kit as new GDF product</t>
  </si>
  <si>
    <t>Establish procedure for tracking and updating the advocacy materials in this kit</t>
  </si>
  <si>
    <t>Establish procedure for distributing GDF advocacy kit and monitoring tock supplies in key offices</t>
  </si>
  <si>
    <t>Patient kit advocacy pack</t>
  </si>
  <si>
    <t>Define contents/message of kit</t>
  </si>
  <si>
    <t>Finalize content/message</t>
  </si>
  <si>
    <t>Crreat distribution list and distribut kit to target stakeholders</t>
  </si>
  <si>
    <t>NTP manager's kit</t>
  </si>
  <si>
    <t>Develop strategic plan and objectives for NTP manager's kit</t>
  </si>
  <si>
    <t>Coordinate with partners to identify and consolidate most effective tools and products for inclusion in manager's  kit</t>
  </si>
  <si>
    <t>Contract branding and marketing for manager's kit</t>
  </si>
  <si>
    <t>Disseminate manager's kit</t>
  </si>
  <si>
    <t xml:space="preserve">Enhancement, marketing and translation of GDF web site </t>
  </si>
  <si>
    <t xml:space="preserve">Define and actualize process for maintaining quality of information and product </t>
  </si>
  <si>
    <t>Plan translation of web site and web site translation into  French and  Spanish</t>
  </si>
  <si>
    <t xml:space="preserve">Actualize process for routinely translating new content for website </t>
  </si>
  <si>
    <t>Ensure GDF coverage in global and medical media</t>
  </si>
  <si>
    <t>Develop and document new angles on the GDF and messages suitable for public</t>
  </si>
  <si>
    <t xml:space="preserve">Work with partners advocacy FPs to include  GDF messages in suitable media </t>
  </si>
  <si>
    <t>Journal coverage - write or outsource journal articles on GDF and its impact</t>
  </si>
  <si>
    <t xml:space="preserve">Identify appropirat themes  and angles for GDF journal coverage </t>
  </si>
  <si>
    <t>Contract writing of GDF journal articles</t>
  </si>
  <si>
    <t>Submit articls for publication</t>
  </si>
  <si>
    <t>Improve advocacy on rational for GDF standerdisation - promotion of existining document/position</t>
  </si>
  <si>
    <t>Promot brand GDF patient kits and blister packs</t>
  </si>
  <si>
    <t>Service promotion for grant</t>
  </si>
  <si>
    <t>Service promotion for direct procurement</t>
  </si>
  <si>
    <t>Service promotion for prequalificaion services</t>
  </si>
  <si>
    <t>Service promotion for technical assistance</t>
  </si>
  <si>
    <t>Reporting</t>
  </si>
  <si>
    <t>Progress report</t>
  </si>
  <si>
    <t>Achievement report</t>
  </si>
  <si>
    <t>Resource mobilisation</t>
  </si>
  <si>
    <t>Contribute to funding proposals</t>
  </si>
  <si>
    <t>Quarterly request for appropriation from FIN</t>
  </si>
  <si>
    <t>Develop a donor pack of materials</t>
  </si>
  <si>
    <t>Promote GDF to the corporate sector selling the GDF in language they can understand</t>
  </si>
  <si>
    <t>Internal management</t>
  </si>
  <si>
    <t>Management of GDF resources, products and activities</t>
  </si>
  <si>
    <t>Biannual retreas to strategies on workplan</t>
  </si>
  <si>
    <t>Staff meetings bi-weekly &amp; monthly GMS meeting</t>
  </si>
  <si>
    <t>Monitor all workwith WHO to ensure that it adheres to MOU close relevant to GDF</t>
  </si>
  <si>
    <t>Ensure all staff (including regional staff) trained in relevant competencies</t>
  </si>
  <si>
    <t xml:space="preserve">Implement PMDS for GDF staff. Secure 2 FT post for GDF P staff and 1 FT for G staff </t>
  </si>
  <si>
    <t xml:space="preserve">Maintenance of ISO certificaiton status </t>
  </si>
  <si>
    <t>Maintain and/or enhance GDF management system</t>
  </si>
  <si>
    <t xml:space="preserve">Support finace/ work plan monittoring through GDF management system </t>
  </si>
  <si>
    <t>Improve financial system</t>
  </si>
  <si>
    <t>Regualarly calcualte and report on GDF spending and funding gap</t>
  </si>
  <si>
    <t>Evaluate remote access by regional staff to GDF management system</t>
  </si>
  <si>
    <t xml:space="preserve">Evaluate information needs of regional staffing  and impact on GDF processes </t>
  </si>
  <si>
    <t>Standerdize/automate data collection from TB technical units / systems</t>
  </si>
  <si>
    <t xml:space="preserve">Introduce enhanced , country focused public web presence and information delivery </t>
  </si>
  <si>
    <t>Matiru Robert</t>
  </si>
  <si>
    <t>Ryan Timoty</t>
  </si>
  <si>
    <t>Karahasanovic Edin</t>
  </si>
  <si>
    <t>SE</t>
  </si>
  <si>
    <t>Uli Fruth</t>
  </si>
  <si>
    <t>Meetings</t>
  </si>
  <si>
    <t>Consultants</t>
  </si>
  <si>
    <t>Capacity building</t>
  </si>
  <si>
    <t>Advocacy/Pub/Web</t>
  </si>
  <si>
    <t>Maria Freire/Heather</t>
  </si>
  <si>
    <t>Advocacy/web/Publications</t>
  </si>
  <si>
    <t>Impact studies</t>
  </si>
  <si>
    <t>Giorgio/Jane</t>
  </si>
  <si>
    <t>Advocacy/Web/Publications</t>
  </si>
  <si>
    <t>Consultancy</t>
  </si>
  <si>
    <t>DOTS Expansion</t>
  </si>
  <si>
    <t>Leo Blanc</t>
  </si>
  <si>
    <t>Meeting</t>
  </si>
  <si>
    <t>Monitoring</t>
  </si>
  <si>
    <t>Coordination process</t>
  </si>
  <si>
    <t>Training of consultant</t>
  </si>
  <si>
    <t>Advocacy, Web, Pub</t>
  </si>
  <si>
    <t>TB/HIV</t>
  </si>
  <si>
    <t>Paul Nunn</t>
  </si>
  <si>
    <t>Publications</t>
  </si>
  <si>
    <t>Staff/A&amp;C</t>
  </si>
  <si>
    <t>Kitty Lambrecht</t>
  </si>
  <si>
    <t>Staff/consultants</t>
  </si>
  <si>
    <t>Sara England</t>
  </si>
  <si>
    <t>Rachel Bauquerez</t>
  </si>
  <si>
    <t>Capacity and partnership building in countries and regions</t>
  </si>
  <si>
    <t>VD</t>
  </si>
  <si>
    <t>Tools and resources</t>
  </si>
  <si>
    <t xml:space="preserve">Training and support of existing partners </t>
  </si>
  <si>
    <t>Adoption and translation of national partnership tools and guidelines into UN languages</t>
  </si>
  <si>
    <t>Technical assistance and consolations</t>
  </si>
  <si>
    <t>Seed funding for emerging national and regional partnership</t>
  </si>
  <si>
    <t>Program management</t>
  </si>
  <si>
    <t>Research and development of new products and tools</t>
  </si>
  <si>
    <t>Partner Outreach</t>
  </si>
  <si>
    <t>Research, identification and outreach to potential new partners</t>
  </si>
  <si>
    <t>National Partnership Database</t>
  </si>
  <si>
    <t xml:space="preserve">Creation of data base for collecting analyzing and reporting on national partnerships interventions   </t>
  </si>
  <si>
    <t>Partners directory</t>
  </si>
  <si>
    <t>Secretariat functions, conference call administrative coordination</t>
  </si>
  <si>
    <t>Meeting with other working groups</t>
  </si>
  <si>
    <t>National partnership building Staff</t>
  </si>
  <si>
    <t>Diaz Valerie</t>
  </si>
  <si>
    <t>Grant agreements reached with new donors</t>
  </si>
  <si>
    <t>MH</t>
  </si>
  <si>
    <t>Conduct desk research</t>
  </si>
  <si>
    <t>Launch series of segment marketing campaigns</t>
  </si>
  <si>
    <t>Gather donor intelligence</t>
  </si>
  <si>
    <t>Prepare grant proposals</t>
  </si>
  <si>
    <t>Grant agreement with private companies</t>
  </si>
  <si>
    <t>Identify a target group of private corporations and establish contact</t>
  </si>
  <si>
    <t>Prepare and launch a series of segments marketing campaigns</t>
  </si>
  <si>
    <t xml:space="preserve">Gather company intelligence </t>
  </si>
  <si>
    <t>Hold informational meetings</t>
  </si>
  <si>
    <t>Prepare project proposals</t>
  </si>
  <si>
    <t>Individual donor and supporter programmed</t>
  </si>
  <si>
    <t>Conduct research to identify target individuals, constituencies and specific subsegements</t>
  </si>
  <si>
    <t>Prepare an outreach plan to each segments</t>
  </si>
  <si>
    <t>Design and develop individual donors &amp; supporters plan</t>
  </si>
  <si>
    <t>Online marketing program</t>
  </si>
  <si>
    <t xml:space="preserve">Conduct market analysis  </t>
  </si>
  <si>
    <t>Design and develop an online marketing programmed</t>
  </si>
  <si>
    <t>Formulate an implementation plan</t>
  </si>
  <si>
    <t>Operate the programmed</t>
  </si>
  <si>
    <t>Events information booths</t>
  </si>
  <si>
    <t xml:space="preserve">Identify conferences and events related to key stop TB </t>
  </si>
  <si>
    <t>Position stop TB staff to make presentation at the events</t>
  </si>
  <si>
    <t xml:space="preserve">Annual fund raising gala </t>
  </si>
  <si>
    <t>Form a planning committee</t>
  </si>
  <si>
    <t>Identify partner institutions to work with on fund raising galas</t>
  </si>
  <si>
    <t>Prepare a business plan</t>
  </si>
  <si>
    <t>Communicate the events with partners, donors and  supporters</t>
  </si>
  <si>
    <t>Donor profile</t>
  </si>
  <si>
    <t>Conduct research and analysis of donor information and compile profile report</t>
  </si>
  <si>
    <t>Policy research on emerging issues</t>
  </si>
  <si>
    <t>Develop a term of reference for consultant</t>
  </si>
  <si>
    <t>Prepare and disseminate the report</t>
  </si>
  <si>
    <t>Title</t>
  </si>
  <si>
    <t>C1.</t>
  </si>
  <si>
    <t>C2.</t>
  </si>
  <si>
    <t>C3.</t>
  </si>
  <si>
    <t>C4.</t>
  </si>
  <si>
    <t>C5.</t>
  </si>
  <si>
    <t>C6.</t>
  </si>
  <si>
    <t>Total Cost</t>
  </si>
  <si>
    <t xml:space="preserve">   SC1.Governance</t>
  </si>
  <si>
    <t xml:space="preserve">   SC1. Governance</t>
  </si>
  <si>
    <t xml:space="preserve">   SC2. Executive Secretary's Office</t>
  </si>
  <si>
    <t>Sub-total</t>
  </si>
  <si>
    <t xml:space="preserve">   SC3. General Management and Support</t>
  </si>
  <si>
    <t>C3. Advocacy, Communication and Social Mobilisation (ACSM)</t>
  </si>
  <si>
    <t>C3. Advocacy Communication and Social Moblization (ACSM)</t>
  </si>
  <si>
    <t xml:space="preserve">C4. Resource Mobilization </t>
  </si>
  <si>
    <t>C5. Administration and Infrastructural Support</t>
  </si>
  <si>
    <t>Reserve</t>
  </si>
  <si>
    <t>Reserve for Partnership</t>
  </si>
  <si>
    <t>Reserve for GDF</t>
  </si>
  <si>
    <t>Total GDF</t>
  </si>
  <si>
    <t xml:space="preserve">Reserve </t>
  </si>
  <si>
    <t>Sub-total Partnership</t>
  </si>
  <si>
    <t>Total Planned Cost, US$</t>
  </si>
  <si>
    <t xml:space="preserve">Total Planned Cost, US$ </t>
  </si>
  <si>
    <t>Budgeted Cost, US$</t>
  </si>
  <si>
    <t>Gap, US$</t>
  </si>
  <si>
    <t xml:space="preserve">Partnership </t>
  </si>
  <si>
    <t>GDF</t>
  </si>
  <si>
    <t>TOTAL</t>
  </si>
  <si>
    <t>Resources Available in US$</t>
  </si>
  <si>
    <t>Stop TB Partnership Work plan 2006-2007 (Schedule 3)</t>
  </si>
  <si>
    <t>Stop TB Partnership Work plan (Schedule 3)</t>
  </si>
  <si>
    <t>Secretariat Biennium Work Plan</t>
  </si>
  <si>
    <t>DOC 2.05-3.2</t>
  </si>
  <si>
    <t>Schedule 1: Financial Summary</t>
  </si>
  <si>
    <t>Schedule 2: Proposed Budget Allocation</t>
  </si>
  <si>
    <t>Schedule 3: Detailed Work Plan 2006-2007</t>
  </si>
  <si>
    <t>CONTENTS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</si>
</sst>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10"/>
      <name val="Arial"/>
      <family val="2"/>
    </font>
    <font>
      <u val="single"/>
      <sz val="12"/>
      <name val="Arial"/>
      <family val="0"/>
    </font>
    <font>
      <strike/>
      <sz val="10"/>
      <name val="Arial"/>
      <family val="0"/>
    </font>
    <font>
      <sz val="10"/>
      <color indexed="10"/>
      <name val="Arial"/>
      <family val="0"/>
    </font>
    <font>
      <sz val="10"/>
      <color indexed="60"/>
      <name val="Arial"/>
      <family val="2"/>
    </font>
    <font>
      <b/>
      <u val="doubleAccounting"/>
      <sz val="12"/>
      <name val="Arial"/>
      <family val="2"/>
    </font>
    <font>
      <u val="singleAccounting"/>
      <sz val="12"/>
      <name val="Arial"/>
      <family val="0"/>
    </font>
    <font>
      <u val="single"/>
      <sz val="11"/>
      <name val="Arial"/>
      <family val="0"/>
    </font>
    <font>
      <u val="singleAccounting"/>
      <sz val="11"/>
      <name val="Arial"/>
      <family val="0"/>
    </font>
    <font>
      <b/>
      <u val="doubleAccounting"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Arial"/>
      <family val="2"/>
    </font>
    <font>
      <b/>
      <sz val="12"/>
      <name val="Times New Roman"/>
      <family val="1"/>
    </font>
    <font>
      <sz val="18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3" fontId="12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 horizontal="left"/>
    </xf>
    <xf numFmtId="175" fontId="3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3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left"/>
    </xf>
    <xf numFmtId="175" fontId="5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6">
      <selection activeCell="E36" sqref="E36"/>
    </sheetView>
  </sheetViews>
  <sheetFormatPr defaultColWidth="9.140625" defaultRowHeight="12.75"/>
  <sheetData>
    <row r="1" ht="15.75">
      <c r="H1" s="171" t="s">
        <v>687</v>
      </c>
    </row>
    <row r="13" spans="1:3" ht="11.25" customHeight="1">
      <c r="A13" s="169"/>
      <c r="C13" s="169"/>
    </row>
    <row r="26" ht="33">
      <c r="B26" s="169" t="s">
        <v>686</v>
      </c>
    </row>
    <row r="34" ht="26.25">
      <c r="A34" s="172" t="s">
        <v>691</v>
      </c>
    </row>
    <row r="37" spans="1:4" ht="23.25">
      <c r="A37" s="170" t="s">
        <v>688</v>
      </c>
      <c r="B37" s="170"/>
      <c r="C37" s="170"/>
      <c r="D37" s="170"/>
    </row>
    <row r="38" spans="1:4" ht="23.25">
      <c r="A38" s="170"/>
      <c r="B38" s="170"/>
      <c r="C38" s="170"/>
      <c r="D38" s="170"/>
    </row>
    <row r="39" spans="1:4" ht="23.25">
      <c r="A39" s="170" t="s">
        <v>689</v>
      </c>
      <c r="B39" s="170"/>
      <c r="C39" s="170"/>
      <c r="D39" s="170"/>
    </row>
    <row r="40" spans="1:4" ht="23.25">
      <c r="A40" s="170"/>
      <c r="B40" s="170"/>
      <c r="C40" s="170"/>
      <c r="D40" s="170"/>
    </row>
    <row r="41" spans="1:4" ht="23.25">
      <c r="A41" s="170" t="s">
        <v>690</v>
      </c>
      <c r="B41" s="170"/>
      <c r="C41" s="170"/>
      <c r="D41" s="170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201891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N178"/>
  <sheetViews>
    <sheetView zoomScale="70" zoomScaleNormal="70" zoomScaleSheetLayoutView="75" workbookViewId="0" topLeftCell="A1">
      <selection activeCell="M43" sqref="M43"/>
    </sheetView>
  </sheetViews>
  <sheetFormatPr defaultColWidth="9.140625" defaultRowHeight="12.75"/>
  <cols>
    <col min="1" max="1" width="16.421875" style="24" customWidth="1"/>
    <col min="2" max="2" width="4.8515625" style="25" customWidth="1"/>
    <col min="3" max="3" width="24.28125" style="26" customWidth="1"/>
    <col min="4" max="4" width="5.00390625" style="52" customWidth="1"/>
    <col min="5" max="5" width="31.00390625" style="26" customWidth="1"/>
    <col min="6" max="6" width="7.8515625" style="30" customWidth="1"/>
    <col min="7" max="7" width="12.57421875" style="30" customWidth="1"/>
    <col min="8" max="8" width="11.00390625" style="30" customWidth="1"/>
    <col min="9" max="9" width="14.00390625" style="30" customWidth="1"/>
    <col min="10" max="10" width="12.7109375" style="30" customWidth="1"/>
    <col min="11" max="11" width="12.28125" style="30" customWidth="1"/>
    <col min="12" max="12" width="12.57421875" style="30" customWidth="1"/>
    <col min="13" max="13" width="14.00390625" style="30" customWidth="1"/>
    <col min="14" max="14" width="11.57421875" style="0" bestFit="1" customWidth="1"/>
  </cols>
  <sheetData>
    <row r="1" spans="1:13" ht="15.75">
      <c r="A1" s="14" t="s">
        <v>685</v>
      </c>
      <c r="F1" s="47"/>
      <c r="G1" s="47"/>
      <c r="H1" s="47"/>
      <c r="I1" s="47"/>
      <c r="J1" s="47"/>
      <c r="K1" s="47"/>
      <c r="L1" s="47"/>
      <c r="M1" s="47"/>
    </row>
    <row r="2" spans="1:14" s="51" customFormat="1" ht="46.5" customHeight="1">
      <c r="A2" s="21" t="s">
        <v>66</v>
      </c>
      <c r="B2" s="50"/>
      <c r="C2" s="21" t="s">
        <v>172</v>
      </c>
      <c r="D2" s="53"/>
      <c r="E2" s="21" t="s">
        <v>67</v>
      </c>
      <c r="F2" s="18" t="s">
        <v>325</v>
      </c>
      <c r="G2" s="18" t="s">
        <v>344</v>
      </c>
      <c r="H2" s="18" t="s">
        <v>168</v>
      </c>
      <c r="I2" s="18" t="s">
        <v>323</v>
      </c>
      <c r="J2" s="18" t="s">
        <v>169</v>
      </c>
      <c r="K2" s="18" t="s">
        <v>170</v>
      </c>
      <c r="L2" s="18" t="s">
        <v>171</v>
      </c>
      <c r="M2" s="21" t="s">
        <v>65</v>
      </c>
      <c r="N2" s="21"/>
    </row>
    <row r="3" spans="1:14" s="38" customFormat="1" ht="15">
      <c r="A3" s="58" t="s">
        <v>669</v>
      </c>
      <c r="B3" s="36"/>
      <c r="C3" s="59"/>
      <c r="D3" s="60"/>
      <c r="E3" s="28" t="s">
        <v>330</v>
      </c>
      <c r="F3" s="29"/>
      <c r="G3" s="5">
        <f aca="true" t="shared" si="0" ref="G3:L3">G5+G28+G73+G106</f>
        <v>1701000</v>
      </c>
      <c r="H3" s="5">
        <f t="shared" si="0"/>
        <v>30000</v>
      </c>
      <c r="I3" s="5">
        <f t="shared" si="0"/>
        <v>1148354</v>
      </c>
      <c r="J3" s="5">
        <f t="shared" si="0"/>
        <v>38000</v>
      </c>
      <c r="K3" s="5">
        <f t="shared" si="0"/>
        <v>62000</v>
      </c>
      <c r="L3" s="5">
        <f t="shared" si="0"/>
        <v>178761.24</v>
      </c>
      <c r="M3" s="5">
        <f>SUM(G3:L3)</f>
        <v>3158115.24</v>
      </c>
      <c r="N3" s="57"/>
    </row>
    <row r="4" spans="1:13" ht="12.75">
      <c r="A4" s="48"/>
      <c r="E4" s="23"/>
      <c r="G4" s="33"/>
      <c r="H4" s="33"/>
      <c r="I4" s="33"/>
      <c r="J4" s="33"/>
      <c r="K4" s="33"/>
      <c r="L4" s="33"/>
      <c r="M4" s="33"/>
    </row>
    <row r="5" spans="1:14" s="2" customFormat="1" ht="12.75">
      <c r="A5" s="9" t="s">
        <v>345</v>
      </c>
      <c r="B5" s="9"/>
      <c r="C5" s="23"/>
      <c r="D5" s="54"/>
      <c r="E5" s="23" t="s">
        <v>343</v>
      </c>
      <c r="F5" s="3"/>
      <c r="G5" s="33">
        <f aca="true" t="shared" si="1" ref="G5:L5">G7+G10+G14+G19+G22+G24</f>
        <v>0</v>
      </c>
      <c r="H5" s="33">
        <f t="shared" si="1"/>
        <v>30000</v>
      </c>
      <c r="I5" s="33">
        <f t="shared" si="1"/>
        <v>105000</v>
      </c>
      <c r="J5" s="33">
        <f t="shared" si="1"/>
        <v>15000</v>
      </c>
      <c r="K5" s="33">
        <f t="shared" si="1"/>
        <v>0</v>
      </c>
      <c r="L5" s="33">
        <f t="shared" si="1"/>
        <v>9000</v>
      </c>
      <c r="M5" s="33">
        <f>SUM(G5:L5)</f>
        <v>159000</v>
      </c>
      <c r="N5" s="32"/>
    </row>
    <row r="6" spans="3:13" ht="12.75">
      <c r="C6" s="23"/>
      <c r="D6" s="55"/>
      <c r="G6" s="40"/>
      <c r="H6" s="40"/>
      <c r="I6" s="40"/>
      <c r="J6" s="40"/>
      <c r="K6" s="40"/>
      <c r="L6" s="40"/>
      <c r="M6" s="40"/>
    </row>
    <row r="7" spans="2:13" ht="25.5">
      <c r="B7" s="25">
        <v>1</v>
      </c>
      <c r="C7" s="26" t="s">
        <v>173</v>
      </c>
      <c r="F7" s="30" t="s">
        <v>174</v>
      </c>
      <c r="G7" s="40">
        <f aca="true" t="shared" si="2" ref="G7:L7">SUM(G8:G9)</f>
        <v>0</v>
      </c>
      <c r="H7" s="40">
        <f t="shared" si="2"/>
        <v>0</v>
      </c>
      <c r="I7" s="40">
        <f t="shared" si="2"/>
        <v>0</v>
      </c>
      <c r="J7" s="40">
        <f t="shared" si="2"/>
        <v>0</v>
      </c>
      <c r="K7" s="40">
        <f t="shared" si="2"/>
        <v>0</v>
      </c>
      <c r="L7" s="40">
        <f t="shared" si="2"/>
        <v>0</v>
      </c>
      <c r="M7" s="40">
        <f aca="true" t="shared" si="3" ref="M7:M26">SUM(G7:L7)</f>
        <v>0</v>
      </c>
    </row>
    <row r="8" spans="4:13" ht="25.5">
      <c r="D8" s="52">
        <v>1.1</v>
      </c>
      <c r="E8" s="26" t="s">
        <v>175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f>SUM(G8:K8)*0.06</f>
        <v>0</v>
      </c>
      <c r="M8" s="40">
        <f t="shared" si="3"/>
        <v>0</v>
      </c>
    </row>
    <row r="9" spans="4:13" ht="25.5">
      <c r="D9" s="52">
        <v>1.2</v>
      </c>
      <c r="E9" s="26" t="s">
        <v>176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f>SUM(G9:K9)*0.06</f>
        <v>0</v>
      </c>
      <c r="M9" s="40">
        <f t="shared" si="3"/>
        <v>0</v>
      </c>
    </row>
    <row r="10" spans="2:13" ht="25.5">
      <c r="B10" s="25">
        <v>2</v>
      </c>
      <c r="C10" s="26" t="s">
        <v>331</v>
      </c>
      <c r="F10" s="30" t="s">
        <v>174</v>
      </c>
      <c r="G10" s="40">
        <f aca="true" t="shared" si="4" ref="G10:L10">+G11+G12+G13</f>
        <v>0</v>
      </c>
      <c r="H10" s="40">
        <f t="shared" si="4"/>
        <v>30000</v>
      </c>
      <c r="I10" s="40">
        <f t="shared" si="4"/>
        <v>0</v>
      </c>
      <c r="J10" s="40">
        <f t="shared" si="4"/>
        <v>0</v>
      </c>
      <c r="K10" s="40">
        <f t="shared" si="4"/>
        <v>0</v>
      </c>
      <c r="L10" s="40">
        <f t="shared" si="4"/>
        <v>1800</v>
      </c>
      <c r="M10" s="40">
        <f t="shared" si="3"/>
        <v>31800</v>
      </c>
    </row>
    <row r="11" spans="4:13" ht="12.75">
      <c r="D11" s="52">
        <v>2.1</v>
      </c>
      <c r="E11" s="26" t="s">
        <v>177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f>SUM(G11:K11)*0.06</f>
        <v>0</v>
      </c>
      <c r="M11" s="40">
        <f t="shared" si="3"/>
        <v>0</v>
      </c>
    </row>
    <row r="12" spans="4:13" ht="12.75">
      <c r="D12" s="52">
        <v>2.2</v>
      </c>
      <c r="E12" s="26" t="s">
        <v>178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f>SUM(G12:K12)*0.06</f>
        <v>0</v>
      </c>
      <c r="M12" s="40">
        <f t="shared" si="3"/>
        <v>0</v>
      </c>
    </row>
    <row r="13" spans="4:13" ht="12.75">
      <c r="D13" s="52">
        <v>2.3</v>
      </c>
      <c r="E13" s="26" t="s">
        <v>179</v>
      </c>
      <c r="G13" s="40">
        <v>0</v>
      </c>
      <c r="H13" s="40">
        <v>30000</v>
      </c>
      <c r="I13" s="40">
        <v>0</v>
      </c>
      <c r="J13" s="40">
        <v>0</v>
      </c>
      <c r="K13" s="40">
        <v>0</v>
      </c>
      <c r="L13" s="40">
        <f>SUM(G13:K13)*0.06</f>
        <v>1800</v>
      </c>
      <c r="M13" s="40">
        <f t="shared" si="3"/>
        <v>31800</v>
      </c>
    </row>
    <row r="14" spans="2:13" ht="12.75">
      <c r="B14" s="25">
        <v>3</v>
      </c>
      <c r="C14" s="26" t="s">
        <v>180</v>
      </c>
      <c r="F14" s="30" t="s">
        <v>174</v>
      </c>
      <c r="G14" s="40">
        <f aca="true" t="shared" si="5" ref="G14:L14">+G15+G16+G17+G18</f>
        <v>0</v>
      </c>
      <c r="H14" s="40">
        <f t="shared" si="5"/>
        <v>0</v>
      </c>
      <c r="I14" s="40">
        <f t="shared" si="5"/>
        <v>60000</v>
      </c>
      <c r="J14" s="40">
        <f t="shared" si="5"/>
        <v>0</v>
      </c>
      <c r="K14" s="40">
        <f t="shared" si="5"/>
        <v>0</v>
      </c>
      <c r="L14" s="40">
        <f t="shared" si="5"/>
        <v>3600</v>
      </c>
      <c r="M14" s="40">
        <f t="shared" si="3"/>
        <v>63600</v>
      </c>
    </row>
    <row r="15" spans="4:13" ht="12.75">
      <c r="D15" s="52">
        <v>3.1</v>
      </c>
      <c r="E15" s="26" t="s">
        <v>181</v>
      </c>
      <c r="G15" s="40">
        <v>0</v>
      </c>
      <c r="H15" s="40">
        <v>0</v>
      </c>
      <c r="I15" s="40">
        <v>30000</v>
      </c>
      <c r="J15" s="40">
        <v>0</v>
      </c>
      <c r="K15" s="40">
        <v>0</v>
      </c>
      <c r="L15" s="40">
        <f>SUM(G15:K15)*0.06</f>
        <v>1800</v>
      </c>
      <c r="M15" s="40">
        <f t="shared" si="3"/>
        <v>31800</v>
      </c>
    </row>
    <row r="16" spans="4:13" ht="15" customHeight="1">
      <c r="D16" s="52">
        <v>3.2</v>
      </c>
      <c r="E16" s="26" t="s">
        <v>182</v>
      </c>
      <c r="G16" s="40">
        <v>0</v>
      </c>
      <c r="H16" s="40">
        <v>0</v>
      </c>
      <c r="I16" s="40">
        <v>25000</v>
      </c>
      <c r="J16" s="40">
        <v>0</v>
      </c>
      <c r="K16" s="40">
        <v>0</v>
      </c>
      <c r="L16" s="40">
        <f>SUM(G16:K16)*0.06</f>
        <v>1500</v>
      </c>
      <c r="M16" s="40">
        <f t="shared" si="3"/>
        <v>26500</v>
      </c>
    </row>
    <row r="17" spans="4:13" ht="12.75">
      <c r="D17" s="52">
        <v>3.3</v>
      </c>
      <c r="E17" s="26" t="s">
        <v>183</v>
      </c>
      <c r="G17" s="40">
        <v>0</v>
      </c>
      <c r="H17" s="40">
        <v>0</v>
      </c>
      <c r="I17" s="40">
        <v>5000</v>
      </c>
      <c r="J17" s="40">
        <v>0</v>
      </c>
      <c r="K17" s="40">
        <v>0</v>
      </c>
      <c r="L17" s="40">
        <f>SUM(G17:K17)*0.06</f>
        <v>300</v>
      </c>
      <c r="M17" s="40">
        <f t="shared" si="3"/>
        <v>5300</v>
      </c>
    </row>
    <row r="18" spans="4:13" ht="14.25" customHeight="1">
      <c r="D18" s="52">
        <v>3.4</v>
      </c>
      <c r="E18" s="26" t="s">
        <v>184</v>
      </c>
      <c r="G18" s="40"/>
      <c r="H18" s="40"/>
      <c r="I18" s="40"/>
      <c r="J18" s="40"/>
      <c r="K18" s="40"/>
      <c r="L18" s="40">
        <f>SUM(G18:K18)*0.06</f>
        <v>0</v>
      </c>
      <c r="M18" s="40">
        <f t="shared" si="3"/>
        <v>0</v>
      </c>
    </row>
    <row r="19" spans="2:13" ht="41.25" customHeight="1">
      <c r="B19" s="25">
        <v>4</v>
      </c>
      <c r="C19" s="26" t="s">
        <v>185</v>
      </c>
      <c r="F19" s="30" t="s">
        <v>174</v>
      </c>
      <c r="G19" s="40">
        <f aca="true" t="shared" si="6" ref="G19:L19">+G20+G21</f>
        <v>0</v>
      </c>
      <c r="H19" s="40">
        <f t="shared" si="6"/>
        <v>0</v>
      </c>
      <c r="I19" s="40">
        <f t="shared" si="6"/>
        <v>45000</v>
      </c>
      <c r="J19" s="40">
        <f t="shared" si="6"/>
        <v>15000</v>
      </c>
      <c r="K19" s="40">
        <f t="shared" si="6"/>
        <v>0</v>
      </c>
      <c r="L19" s="40">
        <f t="shared" si="6"/>
        <v>3600</v>
      </c>
      <c r="M19" s="40">
        <f t="shared" si="3"/>
        <v>63600</v>
      </c>
    </row>
    <row r="20" spans="4:13" ht="12.75">
      <c r="D20" s="52">
        <v>4.1</v>
      </c>
      <c r="E20" s="26" t="s">
        <v>186</v>
      </c>
      <c r="G20" s="40">
        <v>0</v>
      </c>
      <c r="H20" s="40">
        <v>0</v>
      </c>
      <c r="I20" s="40">
        <v>45000</v>
      </c>
      <c r="J20" s="40">
        <v>0</v>
      </c>
      <c r="K20" s="40">
        <v>0</v>
      </c>
      <c r="L20" s="40">
        <f>SUM(G20:K20)*0.06</f>
        <v>2700</v>
      </c>
      <c r="M20" s="40">
        <f t="shared" si="3"/>
        <v>47700</v>
      </c>
    </row>
    <row r="21" spans="4:13" ht="12.75">
      <c r="D21" s="52">
        <v>4.2</v>
      </c>
      <c r="E21" s="26" t="s">
        <v>187</v>
      </c>
      <c r="G21" s="40">
        <v>0</v>
      </c>
      <c r="H21" s="40">
        <v>0</v>
      </c>
      <c r="I21" s="40">
        <v>0</v>
      </c>
      <c r="J21" s="40">
        <v>15000</v>
      </c>
      <c r="K21" s="40">
        <v>0</v>
      </c>
      <c r="L21" s="40">
        <f>SUM(G21:K21)*0.06</f>
        <v>900</v>
      </c>
      <c r="M21" s="40">
        <f t="shared" si="3"/>
        <v>15900</v>
      </c>
    </row>
    <row r="22" spans="2:13" ht="12.75">
      <c r="B22" s="25">
        <v>5</v>
      </c>
      <c r="C22" s="26" t="s">
        <v>188</v>
      </c>
      <c r="F22" s="30" t="s">
        <v>174</v>
      </c>
      <c r="G22" s="40">
        <f aca="true" t="shared" si="7" ref="G22:L22">SUM(G23)</f>
        <v>0</v>
      </c>
      <c r="H22" s="40">
        <f t="shared" si="7"/>
        <v>0</v>
      </c>
      <c r="I22" s="40">
        <f t="shared" si="7"/>
        <v>0</v>
      </c>
      <c r="J22" s="40">
        <f t="shared" si="7"/>
        <v>0</v>
      </c>
      <c r="K22" s="40">
        <f t="shared" si="7"/>
        <v>0</v>
      </c>
      <c r="L22" s="40">
        <f t="shared" si="7"/>
        <v>0</v>
      </c>
      <c r="M22" s="40">
        <f t="shared" si="3"/>
        <v>0</v>
      </c>
    </row>
    <row r="23" spans="4:13" ht="12.75">
      <c r="D23" s="52">
        <v>5.1</v>
      </c>
      <c r="E23" s="26" t="s">
        <v>189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f>SUM(G23:K23)*0.06</f>
        <v>0</v>
      </c>
      <c r="M23" s="40">
        <f t="shared" si="3"/>
        <v>0</v>
      </c>
    </row>
    <row r="24" spans="2:13" ht="12.75">
      <c r="B24" s="25">
        <v>6</v>
      </c>
      <c r="C24" s="26" t="s">
        <v>190</v>
      </c>
      <c r="F24" s="30" t="s">
        <v>174</v>
      </c>
      <c r="G24" s="40">
        <f aca="true" t="shared" si="8" ref="G24:L24">SUM(G25:G26)</f>
        <v>0</v>
      </c>
      <c r="H24" s="40">
        <f t="shared" si="8"/>
        <v>0</v>
      </c>
      <c r="I24" s="40">
        <f t="shared" si="8"/>
        <v>0</v>
      </c>
      <c r="J24" s="40">
        <f t="shared" si="8"/>
        <v>0</v>
      </c>
      <c r="K24" s="40">
        <f t="shared" si="8"/>
        <v>0</v>
      </c>
      <c r="L24" s="40">
        <f t="shared" si="8"/>
        <v>0</v>
      </c>
      <c r="M24" s="40">
        <f t="shared" si="3"/>
        <v>0</v>
      </c>
    </row>
    <row r="25" spans="4:13" ht="25.5">
      <c r="D25" s="52">
        <v>6.1</v>
      </c>
      <c r="E25" s="26" t="s">
        <v>191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f>SUM(G25:K25)*0.06</f>
        <v>0</v>
      </c>
      <c r="M25" s="40">
        <f t="shared" si="3"/>
        <v>0</v>
      </c>
    </row>
    <row r="26" spans="4:13" ht="12.75">
      <c r="D26" s="52">
        <v>6.2</v>
      </c>
      <c r="E26" s="26" t="s">
        <v>192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f>SUM(G26:K26)*0.06</f>
        <v>0</v>
      </c>
      <c r="M26" s="40">
        <f t="shared" si="3"/>
        <v>0</v>
      </c>
    </row>
    <row r="27" spans="7:13" ht="12.75">
      <c r="G27" s="40"/>
      <c r="H27" s="40"/>
      <c r="I27" s="40"/>
      <c r="J27" s="40"/>
      <c r="K27" s="40"/>
      <c r="L27" s="40"/>
      <c r="M27" s="40"/>
    </row>
    <row r="28" spans="1:14" s="2" customFormat="1" ht="12.75">
      <c r="A28" s="9" t="s">
        <v>347</v>
      </c>
      <c r="B28" s="9"/>
      <c r="C28" s="23"/>
      <c r="D28" s="55"/>
      <c r="E28" s="23" t="s">
        <v>343</v>
      </c>
      <c r="F28" s="3"/>
      <c r="G28" s="33">
        <f>+G29+G32+G35+G38+G42+G46+G50+G54+G56+G60+G64+G66+G70</f>
        <v>0</v>
      </c>
      <c r="H28" s="33">
        <f aca="true" t="shared" si="9" ref="H28:M28">+H29+H32+H35+H38+H42+H46+H50+H54+H56+H60+H64+H66+H70</f>
        <v>0</v>
      </c>
      <c r="I28" s="33">
        <f t="shared" si="9"/>
        <v>135000</v>
      </c>
      <c r="J28" s="33">
        <f t="shared" si="9"/>
        <v>15000</v>
      </c>
      <c r="K28" s="33">
        <f t="shared" si="9"/>
        <v>0</v>
      </c>
      <c r="L28" s="33">
        <f t="shared" si="9"/>
        <v>9000</v>
      </c>
      <c r="M28" s="33">
        <f t="shared" si="9"/>
        <v>159000</v>
      </c>
      <c r="N28" s="32"/>
    </row>
    <row r="29" spans="2:13" ht="25.5">
      <c r="B29" s="25">
        <v>1</v>
      </c>
      <c r="C29" s="26" t="s">
        <v>193</v>
      </c>
      <c r="F29" s="30" t="s">
        <v>194</v>
      </c>
      <c r="G29" s="40">
        <f aca="true" t="shared" si="10" ref="G29:L29">SUM(G30:G31)</f>
        <v>0</v>
      </c>
      <c r="H29" s="40">
        <f t="shared" si="10"/>
        <v>0</v>
      </c>
      <c r="I29" s="40">
        <f t="shared" si="10"/>
        <v>0</v>
      </c>
      <c r="J29" s="40">
        <f t="shared" si="10"/>
        <v>0</v>
      </c>
      <c r="K29" s="40">
        <f t="shared" si="10"/>
        <v>0</v>
      </c>
      <c r="L29" s="40">
        <f t="shared" si="10"/>
        <v>0</v>
      </c>
      <c r="M29" s="40">
        <f aca="true" t="shared" si="11" ref="M29:M69">SUM(G29:L29)</f>
        <v>0</v>
      </c>
    </row>
    <row r="30" spans="4:13" ht="12.75">
      <c r="D30" s="52">
        <v>1.1</v>
      </c>
      <c r="E30" s="26" t="s">
        <v>195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f>SUM(G30:K30)*0.06</f>
        <v>0</v>
      </c>
      <c r="M30" s="40">
        <f t="shared" si="11"/>
        <v>0</v>
      </c>
    </row>
    <row r="31" spans="4:13" ht="38.25">
      <c r="D31" s="52">
        <v>1.2</v>
      </c>
      <c r="E31" s="26" t="s">
        <v>196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f>SUM(G31:K31)*0.06</f>
        <v>0</v>
      </c>
      <c r="M31" s="40">
        <f t="shared" si="11"/>
        <v>0</v>
      </c>
    </row>
    <row r="32" spans="2:13" ht="25.5">
      <c r="B32" s="25">
        <v>2</v>
      </c>
      <c r="C32" s="26" t="s">
        <v>197</v>
      </c>
      <c r="F32" s="30" t="s">
        <v>194</v>
      </c>
      <c r="G32" s="40">
        <f aca="true" t="shared" si="12" ref="G32:L32">SUM(G33:G34)</f>
        <v>0</v>
      </c>
      <c r="H32" s="40">
        <f t="shared" si="12"/>
        <v>0</v>
      </c>
      <c r="I32" s="40">
        <f t="shared" si="12"/>
        <v>0</v>
      </c>
      <c r="J32" s="40">
        <f t="shared" si="12"/>
        <v>0</v>
      </c>
      <c r="K32" s="40">
        <f t="shared" si="12"/>
        <v>0</v>
      </c>
      <c r="L32" s="40">
        <f t="shared" si="12"/>
        <v>0</v>
      </c>
      <c r="M32" s="40">
        <f t="shared" si="11"/>
        <v>0</v>
      </c>
    </row>
    <row r="33" spans="4:13" ht="12.75">
      <c r="D33" s="52">
        <v>2.1</v>
      </c>
      <c r="E33" s="26" t="s">
        <v>198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f>SUM(G33:K33)*0.06</f>
        <v>0</v>
      </c>
      <c r="M33" s="40">
        <f t="shared" si="11"/>
        <v>0</v>
      </c>
    </row>
    <row r="34" spans="4:13" ht="25.5">
      <c r="D34" s="52">
        <v>2.2</v>
      </c>
      <c r="E34" s="26" t="s">
        <v>199</v>
      </c>
      <c r="G34" s="40"/>
      <c r="H34" s="40"/>
      <c r="I34" s="40"/>
      <c r="J34" s="40"/>
      <c r="K34" s="40"/>
      <c r="L34" s="40">
        <f>SUM(G34:K34)*0.06</f>
        <v>0</v>
      </c>
      <c r="M34" s="40">
        <f t="shared" si="11"/>
        <v>0</v>
      </c>
    </row>
    <row r="35" spans="2:13" ht="12.75">
      <c r="B35" s="25">
        <v>3</v>
      </c>
      <c r="C35" s="26" t="s">
        <v>351</v>
      </c>
      <c r="F35" s="30" t="s">
        <v>174</v>
      </c>
      <c r="G35" s="40">
        <f aca="true" t="shared" si="13" ref="G35:L35">SUM(G36:G37)</f>
        <v>0</v>
      </c>
      <c r="H35" s="40">
        <f t="shared" si="13"/>
        <v>0</v>
      </c>
      <c r="I35" s="40">
        <f t="shared" si="13"/>
        <v>0</v>
      </c>
      <c r="J35" s="40">
        <f t="shared" si="13"/>
        <v>0</v>
      </c>
      <c r="K35" s="40">
        <f t="shared" si="13"/>
        <v>0</v>
      </c>
      <c r="L35" s="40">
        <f t="shared" si="13"/>
        <v>0</v>
      </c>
      <c r="M35" s="40">
        <f t="shared" si="11"/>
        <v>0</v>
      </c>
    </row>
    <row r="36" spans="4:13" ht="12.75">
      <c r="D36" s="52">
        <v>3.1</v>
      </c>
      <c r="E36" s="26" t="s">
        <v>200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f>SUM(G36:K36)*0.06</f>
        <v>0</v>
      </c>
      <c r="M36" s="40">
        <f t="shared" si="11"/>
        <v>0</v>
      </c>
    </row>
    <row r="37" spans="4:13" ht="25.5">
      <c r="D37" s="52">
        <v>3.2</v>
      </c>
      <c r="E37" s="26" t="s">
        <v>201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f>SUM(G37:K37)*0.06</f>
        <v>0</v>
      </c>
      <c r="M37" s="40">
        <f t="shared" si="11"/>
        <v>0</v>
      </c>
    </row>
    <row r="38" spans="2:13" ht="25.5">
      <c r="B38" s="25">
        <v>4</v>
      </c>
      <c r="C38" s="26" t="s">
        <v>202</v>
      </c>
      <c r="F38" s="30" t="s">
        <v>194</v>
      </c>
      <c r="G38" s="40">
        <f aca="true" t="shared" si="14" ref="G38:L38">SUM(G39:G41)</f>
        <v>0</v>
      </c>
      <c r="H38" s="40">
        <f t="shared" si="14"/>
        <v>0</v>
      </c>
      <c r="I38" s="40">
        <f t="shared" si="14"/>
        <v>0</v>
      </c>
      <c r="J38" s="40">
        <f t="shared" si="14"/>
        <v>0</v>
      </c>
      <c r="K38" s="40">
        <f t="shared" si="14"/>
        <v>0</v>
      </c>
      <c r="L38" s="40">
        <f t="shared" si="14"/>
        <v>0</v>
      </c>
      <c r="M38" s="40">
        <f t="shared" si="11"/>
        <v>0</v>
      </c>
    </row>
    <row r="39" spans="4:13" ht="25.5">
      <c r="D39" s="52">
        <v>4.1</v>
      </c>
      <c r="E39" s="26" t="s">
        <v>203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f>SUM(G39:K39)*0.06</f>
        <v>0</v>
      </c>
      <c r="M39" s="40">
        <f t="shared" si="11"/>
        <v>0</v>
      </c>
    </row>
    <row r="40" spans="4:13" ht="25.5">
      <c r="D40" s="52">
        <v>4.2</v>
      </c>
      <c r="E40" s="26" t="s">
        <v>204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f>SUM(G40:K40)*0.06</f>
        <v>0</v>
      </c>
      <c r="M40" s="40">
        <f t="shared" si="11"/>
        <v>0</v>
      </c>
    </row>
    <row r="41" spans="4:13" ht="12.75">
      <c r="D41" s="52">
        <v>4.3</v>
      </c>
      <c r="E41" s="26" t="s">
        <v>205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f>SUM(G41:K41)*0.06</f>
        <v>0</v>
      </c>
      <c r="M41" s="40">
        <f t="shared" si="11"/>
        <v>0</v>
      </c>
    </row>
    <row r="42" spans="2:13" ht="12.75">
      <c r="B42" s="25">
        <v>5</v>
      </c>
      <c r="C42" s="26" t="s">
        <v>206</v>
      </c>
      <c r="F42" s="30" t="s">
        <v>174</v>
      </c>
      <c r="G42" s="40">
        <f aca="true" t="shared" si="15" ref="G42:L42">SUM(G43:G45)</f>
        <v>0</v>
      </c>
      <c r="H42" s="40">
        <f t="shared" si="15"/>
        <v>0</v>
      </c>
      <c r="I42" s="40">
        <f t="shared" si="15"/>
        <v>0</v>
      </c>
      <c r="J42" s="40">
        <f t="shared" si="15"/>
        <v>0</v>
      </c>
      <c r="K42" s="40">
        <f t="shared" si="15"/>
        <v>0</v>
      </c>
      <c r="L42" s="40">
        <f t="shared" si="15"/>
        <v>0</v>
      </c>
      <c r="M42" s="40">
        <f t="shared" si="11"/>
        <v>0</v>
      </c>
    </row>
    <row r="43" spans="4:13" ht="25.5">
      <c r="D43" s="52">
        <v>5.1</v>
      </c>
      <c r="E43" s="26" t="s">
        <v>207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f>SUM(G43:K43)*0.06</f>
        <v>0</v>
      </c>
      <c r="M43" s="40">
        <f t="shared" si="11"/>
        <v>0</v>
      </c>
    </row>
    <row r="44" spans="4:13" ht="25.5">
      <c r="D44" s="52">
        <v>5.2</v>
      </c>
      <c r="E44" s="26" t="s">
        <v>208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f>SUM(G44:K44)*0.06</f>
        <v>0</v>
      </c>
      <c r="M44" s="40">
        <f t="shared" si="11"/>
        <v>0</v>
      </c>
    </row>
    <row r="45" spans="4:13" ht="25.5">
      <c r="D45" s="52">
        <v>5.3</v>
      </c>
      <c r="E45" s="26" t="s">
        <v>209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f>SUM(G45:K45)*0.06</f>
        <v>0</v>
      </c>
      <c r="M45" s="40">
        <f t="shared" si="11"/>
        <v>0</v>
      </c>
    </row>
    <row r="46" spans="2:13" ht="25.5">
      <c r="B46" s="25">
        <v>6</v>
      </c>
      <c r="C46" s="26" t="s">
        <v>210</v>
      </c>
      <c r="F46" s="30" t="s">
        <v>194</v>
      </c>
      <c r="G46" s="40">
        <f aca="true" t="shared" si="16" ref="G46:L46">SUM(G47:G49)</f>
        <v>0</v>
      </c>
      <c r="H46" s="40">
        <f t="shared" si="16"/>
        <v>0</v>
      </c>
      <c r="I46" s="40">
        <f t="shared" si="16"/>
        <v>0</v>
      </c>
      <c r="J46" s="40">
        <f t="shared" si="16"/>
        <v>0</v>
      </c>
      <c r="K46" s="40">
        <f t="shared" si="16"/>
        <v>0</v>
      </c>
      <c r="L46" s="40">
        <f t="shared" si="16"/>
        <v>0</v>
      </c>
      <c r="M46" s="40">
        <f t="shared" si="11"/>
        <v>0</v>
      </c>
    </row>
    <row r="47" spans="4:13" ht="51">
      <c r="D47" s="52">
        <v>6.1</v>
      </c>
      <c r="E47" s="26" t="s">
        <v>211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f aca="true" t="shared" si="17" ref="L47:L53">SUM(G47:K47)*0.06</f>
        <v>0</v>
      </c>
      <c r="M47" s="40">
        <f t="shared" si="11"/>
        <v>0</v>
      </c>
    </row>
    <row r="48" spans="4:13" ht="25.5">
      <c r="D48" s="52">
        <v>6.2</v>
      </c>
      <c r="E48" s="26" t="s">
        <v>212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f t="shared" si="17"/>
        <v>0</v>
      </c>
      <c r="M48" s="40">
        <f t="shared" si="11"/>
        <v>0</v>
      </c>
    </row>
    <row r="49" spans="4:13" ht="25.5">
      <c r="D49" s="52">
        <v>6.3</v>
      </c>
      <c r="E49" s="26" t="s">
        <v>213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f t="shared" si="17"/>
        <v>0</v>
      </c>
      <c r="M49" s="40">
        <f t="shared" si="11"/>
        <v>0</v>
      </c>
    </row>
    <row r="50" spans="2:13" ht="25.5">
      <c r="B50" s="25">
        <v>7</v>
      </c>
      <c r="C50" s="26" t="s">
        <v>214</v>
      </c>
      <c r="D50" s="52" t="s">
        <v>106</v>
      </c>
      <c r="F50" s="30" t="s">
        <v>174</v>
      </c>
      <c r="G50" s="40">
        <f aca="true" t="shared" si="18" ref="G50:L50">SUM(G51:G53)</f>
        <v>0</v>
      </c>
      <c r="H50" s="40">
        <f t="shared" si="18"/>
        <v>0</v>
      </c>
      <c r="I50" s="40">
        <f t="shared" si="18"/>
        <v>0</v>
      </c>
      <c r="J50" s="40">
        <f t="shared" si="18"/>
        <v>0</v>
      </c>
      <c r="K50" s="40">
        <f t="shared" si="18"/>
        <v>0</v>
      </c>
      <c r="L50" s="40">
        <f t="shared" si="18"/>
        <v>0</v>
      </c>
      <c r="M50" s="40">
        <f t="shared" si="11"/>
        <v>0</v>
      </c>
    </row>
    <row r="51" spans="4:13" ht="25.5">
      <c r="D51" s="52">
        <v>7.1</v>
      </c>
      <c r="E51" s="26" t="s">
        <v>215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f>SUM(G51:K51)*0.06</f>
        <v>0</v>
      </c>
      <c r="M51" s="40">
        <f t="shared" si="11"/>
        <v>0</v>
      </c>
    </row>
    <row r="52" spans="4:13" ht="12.75">
      <c r="D52" s="52">
        <v>7.2</v>
      </c>
      <c r="E52" s="26" t="s">
        <v>216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f t="shared" si="17"/>
        <v>0</v>
      </c>
      <c r="M52" s="40">
        <f t="shared" si="11"/>
        <v>0</v>
      </c>
    </row>
    <row r="53" spans="4:13" ht="12.75">
      <c r="D53" s="52">
        <v>7.3</v>
      </c>
      <c r="E53" s="26" t="s">
        <v>217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f t="shared" si="17"/>
        <v>0</v>
      </c>
      <c r="M53" s="40">
        <f t="shared" si="11"/>
        <v>0</v>
      </c>
    </row>
    <row r="54" spans="2:13" ht="25.5">
      <c r="B54" s="25">
        <v>8</v>
      </c>
      <c r="C54" s="26" t="s">
        <v>218</v>
      </c>
      <c r="F54" s="30" t="s">
        <v>194</v>
      </c>
      <c r="G54" s="40">
        <f aca="true" t="shared" si="19" ref="G54:L54">SUM(G55)</f>
        <v>0</v>
      </c>
      <c r="H54" s="40">
        <f t="shared" si="19"/>
        <v>0</v>
      </c>
      <c r="I54" s="40">
        <f t="shared" si="19"/>
        <v>0</v>
      </c>
      <c r="J54" s="40">
        <f t="shared" si="19"/>
        <v>0</v>
      </c>
      <c r="K54" s="40">
        <f t="shared" si="19"/>
        <v>0</v>
      </c>
      <c r="L54" s="40">
        <f t="shared" si="19"/>
        <v>0</v>
      </c>
      <c r="M54" s="40">
        <f t="shared" si="11"/>
        <v>0</v>
      </c>
    </row>
    <row r="55" spans="4:13" ht="25.5">
      <c r="D55" s="52">
        <v>8.1</v>
      </c>
      <c r="E55" s="26" t="s">
        <v>219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f>SUM(G55:K55)*0.06</f>
        <v>0</v>
      </c>
      <c r="M55" s="40">
        <f t="shared" si="11"/>
        <v>0</v>
      </c>
    </row>
    <row r="56" spans="2:13" ht="25.5">
      <c r="B56" s="25">
        <v>9</v>
      </c>
      <c r="C56" s="26" t="s">
        <v>220</v>
      </c>
      <c r="F56" s="30" t="s">
        <v>174</v>
      </c>
      <c r="G56" s="40">
        <f aca="true" t="shared" si="20" ref="G56:L56">+G57+G58+G59</f>
        <v>0</v>
      </c>
      <c r="H56" s="40">
        <f t="shared" si="20"/>
        <v>0</v>
      </c>
      <c r="I56" s="40">
        <f t="shared" si="20"/>
        <v>50000</v>
      </c>
      <c r="J56" s="40">
        <f t="shared" si="20"/>
        <v>0</v>
      </c>
      <c r="K56" s="40">
        <f t="shared" si="20"/>
        <v>0</v>
      </c>
      <c r="L56" s="40">
        <f t="shared" si="20"/>
        <v>3000</v>
      </c>
      <c r="M56" s="40">
        <f t="shared" si="11"/>
        <v>53000</v>
      </c>
    </row>
    <row r="57" spans="4:13" ht="51">
      <c r="D57" s="52">
        <v>9.1</v>
      </c>
      <c r="E57" s="26" t="s">
        <v>221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f aca="true" t="shared" si="21" ref="L57:L63">SUM(G57:K57)*0.06</f>
        <v>0</v>
      </c>
      <c r="M57" s="40">
        <f t="shared" si="11"/>
        <v>0</v>
      </c>
    </row>
    <row r="58" spans="4:13" ht="25.5">
      <c r="D58" s="52">
        <v>9.2</v>
      </c>
      <c r="E58" s="26" t="s">
        <v>222</v>
      </c>
      <c r="G58" s="40">
        <v>0</v>
      </c>
      <c r="H58" s="40">
        <v>0</v>
      </c>
      <c r="I58" s="40">
        <v>50000</v>
      </c>
      <c r="J58" s="40">
        <v>0</v>
      </c>
      <c r="K58" s="40">
        <v>0</v>
      </c>
      <c r="L58" s="40">
        <f>SUM(G58:K58)*0.06</f>
        <v>3000</v>
      </c>
      <c r="M58" s="40">
        <f t="shared" si="11"/>
        <v>53000</v>
      </c>
    </row>
    <row r="59" spans="4:13" ht="25.5">
      <c r="D59" s="52">
        <v>9.3</v>
      </c>
      <c r="E59" s="26" t="s">
        <v>223</v>
      </c>
      <c r="G59" s="40"/>
      <c r="H59" s="40"/>
      <c r="I59" s="40"/>
      <c r="J59" s="40"/>
      <c r="K59" s="40"/>
      <c r="L59" s="40">
        <f t="shared" si="21"/>
        <v>0</v>
      </c>
      <c r="M59" s="40">
        <f t="shared" si="11"/>
        <v>0</v>
      </c>
    </row>
    <row r="60" spans="2:13" ht="25.5">
      <c r="B60" s="25">
        <v>10</v>
      </c>
      <c r="C60" s="26" t="s">
        <v>224</v>
      </c>
      <c r="F60" s="30" t="s">
        <v>174</v>
      </c>
      <c r="G60" s="40">
        <f aca="true" t="shared" si="22" ref="G60:L60">+G61+G62+G63</f>
        <v>0</v>
      </c>
      <c r="H60" s="40">
        <f t="shared" si="22"/>
        <v>0</v>
      </c>
      <c r="I60" s="40">
        <f t="shared" si="22"/>
        <v>0</v>
      </c>
      <c r="J60" s="40">
        <f t="shared" si="22"/>
        <v>0</v>
      </c>
      <c r="K60" s="40">
        <f t="shared" si="22"/>
        <v>0</v>
      </c>
      <c r="L60" s="40">
        <f t="shared" si="22"/>
        <v>0</v>
      </c>
      <c r="M60" s="40">
        <f t="shared" si="11"/>
        <v>0</v>
      </c>
    </row>
    <row r="61" spans="4:13" ht="25.5">
      <c r="D61" s="52">
        <v>10.1</v>
      </c>
      <c r="E61" s="26" t="s">
        <v>225</v>
      </c>
      <c r="G61" s="40"/>
      <c r="H61" s="40"/>
      <c r="I61" s="40"/>
      <c r="J61" s="40"/>
      <c r="K61" s="40"/>
      <c r="L61" s="40">
        <f>SUM(G61:K61)*0.06</f>
        <v>0</v>
      </c>
      <c r="M61" s="40">
        <f t="shared" si="11"/>
        <v>0</v>
      </c>
    </row>
    <row r="62" spans="4:13" ht="12.75">
      <c r="D62" s="52">
        <v>10.2</v>
      </c>
      <c r="E62" s="26" t="s">
        <v>226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f>SUM(G62:K62)*0.06</f>
        <v>0</v>
      </c>
      <c r="M62" s="40">
        <f t="shared" si="11"/>
        <v>0</v>
      </c>
    </row>
    <row r="63" spans="4:13" ht="25.5">
      <c r="D63" s="52">
        <v>10.3</v>
      </c>
      <c r="E63" s="26" t="s">
        <v>227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1"/>
        <v>0</v>
      </c>
      <c r="M63" s="40">
        <f t="shared" si="11"/>
        <v>0</v>
      </c>
    </row>
    <row r="64" spans="2:13" ht="25.5">
      <c r="B64" s="25">
        <v>11</v>
      </c>
      <c r="C64" s="26" t="s">
        <v>228</v>
      </c>
      <c r="F64" s="30" t="s">
        <v>174</v>
      </c>
      <c r="G64" s="40">
        <f aca="true" t="shared" si="23" ref="G64:L64">+G65</f>
        <v>0</v>
      </c>
      <c r="H64" s="40">
        <f t="shared" si="23"/>
        <v>0</v>
      </c>
      <c r="I64" s="40">
        <f t="shared" si="23"/>
        <v>0</v>
      </c>
      <c r="J64" s="40">
        <f t="shared" si="23"/>
        <v>0</v>
      </c>
      <c r="K64" s="40">
        <f t="shared" si="23"/>
        <v>0</v>
      </c>
      <c r="L64" s="40">
        <f t="shared" si="23"/>
        <v>0</v>
      </c>
      <c r="M64" s="40">
        <f t="shared" si="11"/>
        <v>0</v>
      </c>
    </row>
    <row r="65" spans="4:13" ht="25.5">
      <c r="D65" s="52">
        <v>11.1</v>
      </c>
      <c r="E65" s="26" t="s">
        <v>229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f>SUM(G65:K65)*0.06</f>
        <v>0</v>
      </c>
      <c r="M65" s="40">
        <f t="shared" si="11"/>
        <v>0</v>
      </c>
    </row>
    <row r="66" spans="2:14" ht="38.25">
      <c r="B66" s="25">
        <v>12</v>
      </c>
      <c r="C66" s="26" t="s">
        <v>230</v>
      </c>
      <c r="F66" s="30" t="s">
        <v>174</v>
      </c>
      <c r="G66" s="40">
        <f aca="true" t="shared" si="24" ref="G66:L66">+G67+G68+G69</f>
        <v>0</v>
      </c>
      <c r="H66" s="40">
        <f t="shared" si="24"/>
        <v>0</v>
      </c>
      <c r="I66" s="40">
        <f t="shared" si="24"/>
        <v>85000</v>
      </c>
      <c r="J66" s="40">
        <f t="shared" si="24"/>
        <v>15000</v>
      </c>
      <c r="K66" s="40">
        <f t="shared" si="24"/>
        <v>0</v>
      </c>
      <c r="L66" s="40">
        <f t="shared" si="24"/>
        <v>6000</v>
      </c>
      <c r="M66" s="40">
        <f t="shared" si="11"/>
        <v>106000</v>
      </c>
      <c r="N66" s="31"/>
    </row>
    <row r="67" spans="4:13" ht="12.75">
      <c r="D67" s="52">
        <v>12.1</v>
      </c>
      <c r="E67" s="26" t="s">
        <v>231</v>
      </c>
      <c r="G67" s="40">
        <v>0</v>
      </c>
      <c r="H67" s="40">
        <v>0</v>
      </c>
      <c r="I67" s="40">
        <v>70000</v>
      </c>
      <c r="J67" s="40">
        <v>0</v>
      </c>
      <c r="K67" s="40">
        <v>0</v>
      </c>
      <c r="L67" s="40">
        <f>SUM(G67:K67)*0.06</f>
        <v>4200</v>
      </c>
      <c r="M67" s="40">
        <f t="shared" si="11"/>
        <v>74200</v>
      </c>
    </row>
    <row r="68" spans="4:13" ht="25.5">
      <c r="D68" s="52">
        <v>12.2</v>
      </c>
      <c r="E68" s="26" t="s">
        <v>232</v>
      </c>
      <c r="G68" s="40">
        <v>0</v>
      </c>
      <c r="H68" s="40">
        <v>0</v>
      </c>
      <c r="I68" s="40">
        <v>15000</v>
      </c>
      <c r="J68" s="40">
        <v>0</v>
      </c>
      <c r="K68" s="40">
        <v>0</v>
      </c>
      <c r="L68" s="40">
        <f>SUM(G68:K68)*0.06</f>
        <v>900</v>
      </c>
      <c r="M68" s="40">
        <f t="shared" si="11"/>
        <v>15900</v>
      </c>
    </row>
    <row r="69" spans="4:13" ht="25.5">
      <c r="D69" s="52">
        <v>12.3</v>
      </c>
      <c r="E69" s="26" t="s">
        <v>233</v>
      </c>
      <c r="G69" s="40">
        <v>0</v>
      </c>
      <c r="H69" s="40">
        <v>0</v>
      </c>
      <c r="I69" s="40">
        <v>0</v>
      </c>
      <c r="J69" s="40">
        <v>15000</v>
      </c>
      <c r="K69" s="40">
        <v>0</v>
      </c>
      <c r="L69" s="40">
        <f>SUM(G69:K69)*0.06</f>
        <v>900</v>
      </c>
      <c r="M69" s="40">
        <f t="shared" si="11"/>
        <v>15900</v>
      </c>
    </row>
    <row r="70" spans="2:13" ht="12.75">
      <c r="B70" s="25">
        <v>13</v>
      </c>
      <c r="C70" s="26" t="s">
        <v>234</v>
      </c>
      <c r="F70" s="30" t="s">
        <v>174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3:13" ht="12.75">
      <c r="C71" s="26" t="s">
        <v>106</v>
      </c>
      <c r="D71" s="52">
        <v>13.1</v>
      </c>
      <c r="E71" s="26" t="s">
        <v>235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7:13" ht="12.75">
      <c r="G72" s="40"/>
      <c r="H72" s="40"/>
      <c r="I72" s="40"/>
      <c r="J72" s="40"/>
      <c r="K72" s="40"/>
      <c r="L72" s="40"/>
      <c r="M72" s="40"/>
    </row>
    <row r="73" spans="1:14" s="2" customFormat="1" ht="12.75">
      <c r="A73" s="9" t="s">
        <v>352</v>
      </c>
      <c r="B73" s="9"/>
      <c r="C73" s="23"/>
      <c r="D73" s="55"/>
      <c r="E73" s="23" t="s">
        <v>343</v>
      </c>
      <c r="F73" s="3"/>
      <c r="G73" s="33">
        <f aca="true" t="shared" si="25" ref="G73:L73">+G74+G77+G81+G84+G92+G96+G99</f>
        <v>1335000</v>
      </c>
      <c r="H73" s="33">
        <f t="shared" si="25"/>
        <v>0</v>
      </c>
      <c r="I73" s="33">
        <f t="shared" si="25"/>
        <v>807000</v>
      </c>
      <c r="J73" s="33">
        <f t="shared" si="25"/>
        <v>8000</v>
      </c>
      <c r="K73" s="33">
        <f t="shared" si="25"/>
        <v>0</v>
      </c>
      <c r="L73" s="33">
        <f t="shared" si="25"/>
        <v>129000</v>
      </c>
      <c r="M73" s="33">
        <f aca="true" t="shared" si="26" ref="M73:M84">SUM(G73:L73)</f>
        <v>2279000</v>
      </c>
      <c r="N73" s="32"/>
    </row>
    <row r="74" spans="2:13" ht="25.5">
      <c r="B74" s="25">
        <v>1</v>
      </c>
      <c r="C74" s="26" t="s">
        <v>239</v>
      </c>
      <c r="F74" s="30" t="s">
        <v>174</v>
      </c>
      <c r="G74" s="40">
        <f aca="true" t="shared" si="27" ref="G74:L74">+G75+G76</f>
        <v>0</v>
      </c>
      <c r="H74" s="40">
        <f t="shared" si="27"/>
        <v>0</v>
      </c>
      <c r="I74" s="40">
        <f t="shared" si="27"/>
        <v>0</v>
      </c>
      <c r="J74" s="40">
        <f t="shared" si="27"/>
        <v>0</v>
      </c>
      <c r="K74" s="40">
        <f t="shared" si="27"/>
        <v>0</v>
      </c>
      <c r="L74" s="40">
        <f t="shared" si="27"/>
        <v>0</v>
      </c>
      <c r="M74" s="40">
        <f t="shared" si="26"/>
        <v>0</v>
      </c>
    </row>
    <row r="75" spans="4:13" ht="12.75">
      <c r="D75" s="52">
        <v>1.1</v>
      </c>
      <c r="E75" s="26" t="s">
        <v>240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f>SUM(G75:K75)*0.06</f>
        <v>0</v>
      </c>
      <c r="M75" s="40">
        <f t="shared" si="26"/>
        <v>0</v>
      </c>
    </row>
    <row r="76" spans="4:13" ht="12.75">
      <c r="D76" s="52">
        <v>1.2</v>
      </c>
      <c r="E76" s="26" t="s">
        <v>241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f>SUM(G76:K76)*0.06</f>
        <v>0</v>
      </c>
      <c r="M76" s="40">
        <f t="shared" si="26"/>
        <v>0</v>
      </c>
    </row>
    <row r="77" spans="2:13" ht="25.5">
      <c r="B77" s="25">
        <v>2</v>
      </c>
      <c r="C77" s="26" t="s">
        <v>242</v>
      </c>
      <c r="F77" s="30" t="s">
        <v>174</v>
      </c>
      <c r="G77" s="40">
        <f aca="true" t="shared" si="28" ref="G77:L77">SUM(G78:G80)</f>
        <v>0</v>
      </c>
      <c r="H77" s="40">
        <f t="shared" si="28"/>
        <v>0</v>
      </c>
      <c r="I77" s="40">
        <f t="shared" si="28"/>
        <v>0</v>
      </c>
      <c r="J77" s="40">
        <f t="shared" si="28"/>
        <v>0</v>
      </c>
      <c r="K77" s="40">
        <f t="shared" si="28"/>
        <v>0</v>
      </c>
      <c r="L77" s="40">
        <f t="shared" si="28"/>
        <v>0</v>
      </c>
      <c r="M77" s="40">
        <f t="shared" si="26"/>
        <v>0</v>
      </c>
    </row>
    <row r="78" spans="4:13" ht="12.75">
      <c r="D78" s="52">
        <v>2.1</v>
      </c>
      <c r="E78" s="26" t="s">
        <v>243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f>SUM(G78:K78)*0.06</f>
        <v>0</v>
      </c>
      <c r="M78" s="40">
        <f t="shared" si="26"/>
        <v>0</v>
      </c>
    </row>
    <row r="79" spans="4:13" ht="12.75">
      <c r="D79" s="52">
        <v>2.2</v>
      </c>
      <c r="E79" s="26" t="s">
        <v>244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f>SUM(G79:K79)*0.06</f>
        <v>0</v>
      </c>
      <c r="M79" s="40">
        <f t="shared" si="26"/>
        <v>0</v>
      </c>
    </row>
    <row r="80" spans="4:13" ht="12.75">
      <c r="D80" s="52">
        <v>2.3</v>
      </c>
      <c r="E80" s="26" t="s">
        <v>245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f>SUM(G80:K80)*0.06</f>
        <v>0</v>
      </c>
      <c r="M80" s="40">
        <f t="shared" si="26"/>
        <v>0</v>
      </c>
    </row>
    <row r="81" spans="2:14" ht="25.5">
      <c r="B81" s="25">
        <v>3</v>
      </c>
      <c r="C81" s="26" t="s">
        <v>246</v>
      </c>
      <c r="F81" s="30" t="s">
        <v>174</v>
      </c>
      <c r="G81" s="40">
        <f aca="true" t="shared" si="29" ref="G81:L81">+G82+G83</f>
        <v>0</v>
      </c>
      <c r="H81" s="40">
        <f t="shared" si="29"/>
        <v>0</v>
      </c>
      <c r="I81" s="40">
        <f t="shared" si="29"/>
        <v>7000</v>
      </c>
      <c r="J81" s="40">
        <f t="shared" si="29"/>
        <v>8000</v>
      </c>
      <c r="K81" s="40">
        <f t="shared" si="29"/>
        <v>0</v>
      </c>
      <c r="L81" s="40">
        <f t="shared" si="29"/>
        <v>900</v>
      </c>
      <c r="M81" s="40">
        <f t="shared" si="26"/>
        <v>15900</v>
      </c>
      <c r="N81" s="31"/>
    </row>
    <row r="82" spans="4:13" ht="12.75">
      <c r="D82" s="52">
        <v>3.1</v>
      </c>
      <c r="E82" s="26" t="s">
        <v>247</v>
      </c>
      <c r="G82" s="40">
        <v>0</v>
      </c>
      <c r="H82" s="40">
        <v>0</v>
      </c>
      <c r="I82" s="40">
        <v>7000</v>
      </c>
      <c r="J82" s="40">
        <v>0</v>
      </c>
      <c r="K82" s="40">
        <v>0</v>
      </c>
      <c r="L82" s="40">
        <f>SUM(G82:K82)*0.06</f>
        <v>420</v>
      </c>
      <c r="M82" s="40">
        <f t="shared" si="26"/>
        <v>7420</v>
      </c>
    </row>
    <row r="83" spans="4:13" ht="12.75">
      <c r="D83" s="52">
        <v>3.2</v>
      </c>
      <c r="E83" s="26" t="s">
        <v>248</v>
      </c>
      <c r="G83" s="40">
        <v>0</v>
      </c>
      <c r="H83" s="40">
        <v>0</v>
      </c>
      <c r="I83" s="40">
        <v>0</v>
      </c>
      <c r="J83" s="40">
        <v>8000</v>
      </c>
      <c r="K83" s="40">
        <v>0</v>
      </c>
      <c r="L83" s="40">
        <f>SUM(G83:K83)*0.06</f>
        <v>480</v>
      </c>
      <c r="M83" s="40">
        <f t="shared" si="26"/>
        <v>8480</v>
      </c>
    </row>
    <row r="84" spans="2:13" ht="25.5">
      <c r="B84" s="25">
        <v>4</v>
      </c>
      <c r="C84" s="26" t="s">
        <v>249</v>
      </c>
      <c r="F84" s="30" t="s">
        <v>174</v>
      </c>
      <c r="G84" s="40">
        <f aca="true" t="shared" si="30" ref="G84:L84">SUM(G85:G91)</f>
        <v>0</v>
      </c>
      <c r="H84" s="40">
        <f t="shared" si="30"/>
        <v>0</v>
      </c>
      <c r="I84" s="40">
        <f t="shared" si="30"/>
        <v>800000</v>
      </c>
      <c r="J84" s="40">
        <f t="shared" si="30"/>
        <v>0</v>
      </c>
      <c r="K84" s="40">
        <f t="shared" si="30"/>
        <v>0</v>
      </c>
      <c r="L84" s="40">
        <f t="shared" si="30"/>
        <v>48000</v>
      </c>
      <c r="M84" s="40">
        <f t="shared" si="26"/>
        <v>848000</v>
      </c>
    </row>
    <row r="85" spans="4:13" ht="12.75">
      <c r="D85" s="52">
        <v>4.1</v>
      </c>
      <c r="E85" s="26" t="s">
        <v>250</v>
      </c>
      <c r="G85" s="40">
        <v>0</v>
      </c>
      <c r="H85" s="40">
        <v>0</v>
      </c>
      <c r="I85" s="40">
        <v>800000</v>
      </c>
      <c r="J85" s="40">
        <v>0</v>
      </c>
      <c r="K85" s="40">
        <v>0</v>
      </c>
      <c r="L85" s="40">
        <f>SUM(G85:K85)*0.06</f>
        <v>48000</v>
      </c>
      <c r="M85" s="40">
        <f aca="true" t="shared" si="31" ref="M85:M91">SUM(G85:L85)</f>
        <v>848000</v>
      </c>
    </row>
    <row r="86" spans="4:13" ht="25.5">
      <c r="D86" s="52">
        <v>4.2</v>
      </c>
      <c r="E86" s="26" t="s">
        <v>251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f aca="true" t="shared" si="32" ref="L86:L91">SUM(G86:K86)*0.06</f>
        <v>0</v>
      </c>
      <c r="M86" s="40">
        <f t="shared" si="31"/>
        <v>0</v>
      </c>
    </row>
    <row r="87" spans="4:13" ht="12.75">
      <c r="D87" s="52">
        <v>4.3</v>
      </c>
      <c r="E87" s="26" t="s">
        <v>252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f t="shared" si="32"/>
        <v>0</v>
      </c>
      <c r="M87" s="40">
        <f t="shared" si="31"/>
        <v>0</v>
      </c>
    </row>
    <row r="88" spans="4:13" ht="25.5">
      <c r="D88" s="52">
        <v>4.4</v>
      </c>
      <c r="E88" s="26" t="s">
        <v>253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f>SUM(G88:K88)*0.06</f>
        <v>0</v>
      </c>
      <c r="M88" s="40">
        <f t="shared" si="31"/>
        <v>0</v>
      </c>
    </row>
    <row r="89" spans="4:13" ht="25.5">
      <c r="D89" s="52">
        <v>4.5</v>
      </c>
      <c r="E89" s="26" t="s">
        <v>254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f t="shared" si="32"/>
        <v>0</v>
      </c>
      <c r="M89" s="40">
        <f>SUM(G89:L89)</f>
        <v>0</v>
      </c>
    </row>
    <row r="90" spans="4:13" ht="25.5">
      <c r="D90" s="52">
        <v>4.6</v>
      </c>
      <c r="E90" s="26" t="s">
        <v>255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f t="shared" si="32"/>
        <v>0</v>
      </c>
      <c r="M90" s="40">
        <f t="shared" si="31"/>
        <v>0</v>
      </c>
    </row>
    <row r="91" spans="4:13" ht="38.25">
      <c r="D91" s="52">
        <v>4.7</v>
      </c>
      <c r="E91" s="26" t="s">
        <v>256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f t="shared" si="32"/>
        <v>0</v>
      </c>
      <c r="M91" s="40">
        <f t="shared" si="31"/>
        <v>0</v>
      </c>
    </row>
    <row r="92" spans="2:13" ht="25.5">
      <c r="B92" s="25">
        <v>5</v>
      </c>
      <c r="C92" s="26" t="s">
        <v>257</v>
      </c>
      <c r="F92" s="30" t="s">
        <v>174</v>
      </c>
      <c r="G92" s="40">
        <f aca="true" t="shared" si="33" ref="G92:L92">SUM(G93:G95)</f>
        <v>0</v>
      </c>
      <c r="H92" s="40">
        <f t="shared" si="33"/>
        <v>0</v>
      </c>
      <c r="I92" s="40">
        <f t="shared" si="33"/>
        <v>0</v>
      </c>
      <c r="J92" s="40">
        <f t="shared" si="33"/>
        <v>0</v>
      </c>
      <c r="K92" s="40">
        <f t="shared" si="33"/>
        <v>0</v>
      </c>
      <c r="L92" s="40">
        <f t="shared" si="33"/>
        <v>0</v>
      </c>
      <c r="M92" s="40">
        <f aca="true" t="shared" si="34" ref="M92:M104">SUM(G92:L92)</f>
        <v>0</v>
      </c>
    </row>
    <row r="93" spans="4:13" ht="38.25">
      <c r="D93" s="52">
        <v>5.1</v>
      </c>
      <c r="E93" s="26" t="s">
        <v>258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f>SUM(G93:K93)*0.06</f>
        <v>0</v>
      </c>
      <c r="M93" s="40">
        <f t="shared" si="34"/>
        <v>0</v>
      </c>
    </row>
    <row r="94" spans="4:13" ht="25.5">
      <c r="D94" s="52">
        <v>5.2</v>
      </c>
      <c r="E94" s="26" t="s">
        <v>259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f>SUM(G94:K94)*0.06</f>
        <v>0</v>
      </c>
      <c r="M94" s="40">
        <f t="shared" si="34"/>
        <v>0</v>
      </c>
    </row>
    <row r="95" spans="4:13" ht="20.25" customHeight="1">
      <c r="D95" s="52">
        <v>5.3</v>
      </c>
      <c r="E95" s="26" t="s">
        <v>260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f>SUM(G95:K95)*0.06</f>
        <v>0</v>
      </c>
      <c r="M95" s="40">
        <f t="shared" si="34"/>
        <v>0</v>
      </c>
    </row>
    <row r="96" spans="2:13" ht="20.25" customHeight="1">
      <c r="B96" s="25">
        <v>6</v>
      </c>
      <c r="C96" s="26" t="s">
        <v>261</v>
      </c>
      <c r="F96" s="30" t="s">
        <v>174</v>
      </c>
      <c r="G96" s="40">
        <f aca="true" t="shared" si="35" ref="G96:L96">SUM(G97:G98)</f>
        <v>0</v>
      </c>
      <c r="H96" s="40">
        <f t="shared" si="35"/>
        <v>0</v>
      </c>
      <c r="I96" s="40">
        <f t="shared" si="35"/>
        <v>0</v>
      </c>
      <c r="J96" s="40">
        <f t="shared" si="35"/>
        <v>0</v>
      </c>
      <c r="K96" s="40">
        <f t="shared" si="35"/>
        <v>0</v>
      </c>
      <c r="L96" s="40">
        <f t="shared" si="35"/>
        <v>0</v>
      </c>
      <c r="M96" s="40">
        <f t="shared" si="34"/>
        <v>0</v>
      </c>
    </row>
    <row r="97" spans="2:13" s="24" customFormat="1" ht="17.25" customHeight="1">
      <c r="B97" s="25"/>
      <c r="D97" s="52">
        <v>6.1</v>
      </c>
      <c r="E97" s="26" t="s">
        <v>262</v>
      </c>
      <c r="F97" s="30"/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f>SUM(G97:K97)*0.06</f>
        <v>0</v>
      </c>
      <c r="M97" s="40">
        <f t="shared" si="34"/>
        <v>0</v>
      </c>
    </row>
    <row r="98" spans="3:13" ht="25.5">
      <c r="C98" s="49"/>
      <c r="D98" s="52">
        <v>6.2</v>
      </c>
      <c r="E98" s="26" t="s">
        <v>263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f>SUM(G98:K98)*0.06</f>
        <v>0</v>
      </c>
      <c r="M98" s="40">
        <f t="shared" si="34"/>
        <v>0</v>
      </c>
    </row>
    <row r="99" spans="2:13" ht="40.5" customHeight="1">
      <c r="B99" s="25">
        <v>7</v>
      </c>
      <c r="C99" s="26" t="s">
        <v>349</v>
      </c>
      <c r="F99" s="30" t="s">
        <v>174</v>
      </c>
      <c r="G99" s="40">
        <f aca="true" t="shared" si="36" ref="G99:L99">SUM(G100:G104)</f>
        <v>1335000</v>
      </c>
      <c r="H99" s="40">
        <f t="shared" si="36"/>
        <v>0</v>
      </c>
      <c r="I99" s="40">
        <f t="shared" si="36"/>
        <v>0</v>
      </c>
      <c r="J99" s="40">
        <f t="shared" si="36"/>
        <v>0</v>
      </c>
      <c r="K99" s="40">
        <f t="shared" si="36"/>
        <v>0</v>
      </c>
      <c r="L99" s="40">
        <f t="shared" si="36"/>
        <v>80100</v>
      </c>
      <c r="M99" s="40">
        <f t="shared" si="34"/>
        <v>1415100</v>
      </c>
    </row>
    <row r="100" spans="4:13" ht="12.75">
      <c r="D100" s="52">
        <v>7.1</v>
      </c>
      <c r="E100" s="26" t="s">
        <v>350</v>
      </c>
      <c r="G100" s="40">
        <v>421000</v>
      </c>
      <c r="H100" s="40">
        <v>0</v>
      </c>
      <c r="I100" s="40">
        <v>0</v>
      </c>
      <c r="J100" s="40">
        <v>0</v>
      </c>
      <c r="K100" s="40">
        <v>0</v>
      </c>
      <c r="L100" s="40">
        <f>SUM(G100:K100)*0.06</f>
        <v>25260</v>
      </c>
      <c r="M100" s="40">
        <f t="shared" si="34"/>
        <v>446260</v>
      </c>
    </row>
    <row r="101" spans="4:13" ht="12.75">
      <c r="D101" s="52">
        <v>7.2</v>
      </c>
      <c r="E101" s="26" t="s">
        <v>236</v>
      </c>
      <c r="G101" s="40">
        <v>306000</v>
      </c>
      <c r="H101" s="40">
        <v>0</v>
      </c>
      <c r="I101" s="40">
        <v>0</v>
      </c>
      <c r="J101" s="40">
        <v>0</v>
      </c>
      <c r="K101" s="40">
        <v>0</v>
      </c>
      <c r="L101" s="40">
        <f>SUM(G101:K101)*0.06</f>
        <v>18360</v>
      </c>
      <c r="M101" s="40">
        <f t="shared" si="34"/>
        <v>324360</v>
      </c>
    </row>
    <row r="102" spans="4:13" ht="12.75">
      <c r="D102" s="52">
        <v>7.3</v>
      </c>
      <c r="E102" s="26" t="s">
        <v>264</v>
      </c>
      <c r="G102" s="40">
        <v>222000</v>
      </c>
      <c r="H102" s="40">
        <v>0</v>
      </c>
      <c r="I102" s="40">
        <v>0</v>
      </c>
      <c r="J102" s="40">
        <v>0</v>
      </c>
      <c r="K102" s="40">
        <v>0</v>
      </c>
      <c r="L102" s="40">
        <f>SUM(G102:K102)*0.06</f>
        <v>13320</v>
      </c>
      <c r="M102" s="40">
        <f t="shared" si="34"/>
        <v>235320</v>
      </c>
    </row>
    <row r="103" spans="4:13" ht="12.75">
      <c r="D103" s="52">
        <v>7.4</v>
      </c>
      <c r="E103" s="26" t="s">
        <v>237</v>
      </c>
      <c r="G103" s="40">
        <v>193000</v>
      </c>
      <c r="H103" s="40">
        <v>0</v>
      </c>
      <c r="I103" s="40">
        <v>0</v>
      </c>
      <c r="J103" s="40">
        <v>0</v>
      </c>
      <c r="K103" s="40">
        <v>0</v>
      </c>
      <c r="L103" s="40">
        <f>SUM(G103:K103)*0.06</f>
        <v>11580</v>
      </c>
      <c r="M103" s="40">
        <f t="shared" si="34"/>
        <v>204580</v>
      </c>
    </row>
    <row r="104" spans="4:13" ht="12.75">
      <c r="D104" s="52">
        <v>7.5</v>
      </c>
      <c r="E104" s="26" t="s">
        <v>238</v>
      </c>
      <c r="G104" s="40">
        <v>193000</v>
      </c>
      <c r="H104" s="40">
        <v>0</v>
      </c>
      <c r="I104" s="40">
        <v>0</v>
      </c>
      <c r="J104" s="40">
        <v>0</v>
      </c>
      <c r="K104" s="40">
        <v>0</v>
      </c>
      <c r="L104" s="40">
        <f>SUM(G104:K104)*0.06</f>
        <v>11580</v>
      </c>
      <c r="M104" s="40">
        <f t="shared" si="34"/>
        <v>204580</v>
      </c>
    </row>
    <row r="105" spans="7:13" ht="12.75">
      <c r="G105" s="40"/>
      <c r="H105" s="40"/>
      <c r="I105" s="40"/>
      <c r="J105" s="40"/>
      <c r="K105" s="40"/>
      <c r="L105" s="40"/>
      <c r="M105" s="40"/>
    </row>
    <row r="106" spans="1:14" s="106" customFormat="1" ht="18" customHeight="1">
      <c r="A106" s="9" t="s">
        <v>348</v>
      </c>
      <c r="B106" s="9"/>
      <c r="C106" s="23"/>
      <c r="D106" s="55"/>
      <c r="E106" s="23" t="s">
        <v>343</v>
      </c>
      <c r="F106" s="9"/>
      <c r="G106" s="138">
        <f aca="true" t="shared" si="37" ref="G106:L106">G107+G113+G115+G118+G120+G123+G126+G128+G130+G132+G135+G139+G142+G145+G148+G151+G153+G155+G157+G161</f>
        <v>366000</v>
      </c>
      <c r="H106" s="138">
        <f t="shared" si="37"/>
        <v>0</v>
      </c>
      <c r="I106" s="138">
        <f t="shared" si="37"/>
        <v>101354</v>
      </c>
      <c r="J106" s="138">
        <f t="shared" si="37"/>
        <v>0</v>
      </c>
      <c r="K106" s="138">
        <f t="shared" si="37"/>
        <v>62000</v>
      </c>
      <c r="L106" s="138">
        <f t="shared" si="37"/>
        <v>31761.239999999998</v>
      </c>
      <c r="M106" s="138">
        <f>SUM(G106:L106)</f>
        <v>561115.24</v>
      </c>
      <c r="N106" s="138"/>
    </row>
    <row r="107" spans="2:13" ht="25.5">
      <c r="B107" s="25">
        <v>1</v>
      </c>
      <c r="C107" s="26" t="s">
        <v>265</v>
      </c>
      <c r="F107" s="30" t="s">
        <v>266</v>
      </c>
      <c r="G107" s="40">
        <f aca="true" t="shared" si="38" ref="G107:L107">+G109+G110+G111+G112+G108</f>
        <v>0</v>
      </c>
      <c r="H107" s="40">
        <f t="shared" si="38"/>
        <v>0</v>
      </c>
      <c r="I107" s="40">
        <f t="shared" si="38"/>
        <v>4000</v>
      </c>
      <c r="J107" s="40">
        <f t="shared" si="38"/>
        <v>0</v>
      </c>
      <c r="K107" s="40">
        <f t="shared" si="38"/>
        <v>0</v>
      </c>
      <c r="L107" s="40">
        <f t="shared" si="38"/>
        <v>240</v>
      </c>
      <c r="M107" s="40">
        <f aca="true" t="shared" si="39" ref="M107:M134">SUM(G107:L107)</f>
        <v>4240</v>
      </c>
    </row>
    <row r="108" spans="4:13" ht="25.5">
      <c r="D108" s="52">
        <v>1.1</v>
      </c>
      <c r="E108" s="26" t="s">
        <v>267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f>SUM(G108:K108)*0.06</f>
        <v>0</v>
      </c>
      <c r="M108" s="40">
        <f t="shared" si="39"/>
        <v>0</v>
      </c>
    </row>
    <row r="109" spans="4:13" ht="25.5">
      <c r="D109" s="52">
        <v>1.2</v>
      </c>
      <c r="E109" s="26" t="s">
        <v>268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f>SUM(G109:K109)*0.06</f>
        <v>0</v>
      </c>
      <c r="M109" s="40">
        <f t="shared" si="39"/>
        <v>0</v>
      </c>
    </row>
    <row r="110" spans="4:13" ht="25.5">
      <c r="D110" s="52">
        <v>1.3</v>
      </c>
      <c r="E110" s="26" t="s">
        <v>269</v>
      </c>
      <c r="G110" s="40">
        <v>0</v>
      </c>
      <c r="H110" s="40">
        <v>0</v>
      </c>
      <c r="I110" s="40">
        <v>4000</v>
      </c>
      <c r="J110" s="40">
        <v>0</v>
      </c>
      <c r="K110" s="40">
        <v>0</v>
      </c>
      <c r="L110" s="40">
        <f>SUM(G110:K110)*0.06</f>
        <v>240</v>
      </c>
      <c r="M110" s="40">
        <f t="shared" si="39"/>
        <v>4240</v>
      </c>
    </row>
    <row r="111" spans="4:13" ht="25.5">
      <c r="D111" s="52">
        <v>1.4</v>
      </c>
      <c r="E111" s="26" t="s">
        <v>270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f>SUM(G111:K111)*0.06</f>
        <v>0</v>
      </c>
      <c r="M111" s="40">
        <f t="shared" si="39"/>
        <v>0</v>
      </c>
    </row>
    <row r="112" spans="4:13" ht="25.5">
      <c r="D112" s="52">
        <v>1.5</v>
      </c>
      <c r="E112" s="26" t="s">
        <v>271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f>SUM(G112:K112)*0.06</f>
        <v>0</v>
      </c>
      <c r="M112" s="40">
        <f t="shared" si="39"/>
        <v>0</v>
      </c>
    </row>
    <row r="113" spans="2:13" ht="12.75">
      <c r="B113" s="25">
        <v>2</v>
      </c>
      <c r="C113" s="26" t="s">
        <v>272</v>
      </c>
      <c r="F113" s="30" t="s">
        <v>266</v>
      </c>
      <c r="G113" s="40">
        <f aca="true" t="shared" si="40" ref="G113:L113">SUM(G114)</f>
        <v>0</v>
      </c>
      <c r="H113" s="40">
        <f t="shared" si="40"/>
        <v>0</v>
      </c>
      <c r="I113" s="40">
        <f t="shared" si="40"/>
        <v>0</v>
      </c>
      <c r="J113" s="40">
        <f t="shared" si="40"/>
        <v>0</v>
      </c>
      <c r="K113" s="40">
        <f t="shared" si="40"/>
        <v>0</v>
      </c>
      <c r="L113" s="40">
        <f t="shared" si="40"/>
        <v>0</v>
      </c>
      <c r="M113" s="40">
        <f t="shared" si="39"/>
        <v>0</v>
      </c>
    </row>
    <row r="114" spans="4:13" ht="25.5">
      <c r="D114" s="52">
        <v>2.1</v>
      </c>
      <c r="E114" s="26" t="s">
        <v>273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f>SUM(G114:K114)*0.06</f>
        <v>0</v>
      </c>
      <c r="M114" s="40">
        <f t="shared" si="39"/>
        <v>0</v>
      </c>
    </row>
    <row r="115" spans="2:13" ht="25.5">
      <c r="B115" s="25">
        <v>3</v>
      </c>
      <c r="C115" s="26" t="s">
        <v>274</v>
      </c>
      <c r="F115" s="30" t="s">
        <v>266</v>
      </c>
      <c r="G115" s="40">
        <f aca="true" t="shared" si="41" ref="G115:L115">SUM(G116:G117)</f>
        <v>0</v>
      </c>
      <c r="H115" s="40">
        <f t="shared" si="41"/>
        <v>0</v>
      </c>
      <c r="I115" s="40">
        <f t="shared" si="41"/>
        <v>0</v>
      </c>
      <c r="J115" s="40">
        <f t="shared" si="41"/>
        <v>0</v>
      </c>
      <c r="K115" s="40">
        <f t="shared" si="41"/>
        <v>0</v>
      </c>
      <c r="L115" s="40">
        <f t="shared" si="41"/>
        <v>0</v>
      </c>
      <c r="M115" s="40">
        <f t="shared" si="39"/>
        <v>0</v>
      </c>
    </row>
    <row r="116" spans="4:13" ht="25.5">
      <c r="D116" s="52">
        <v>3.1</v>
      </c>
      <c r="E116" s="26" t="s">
        <v>275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f aca="true" t="shared" si="42" ref="L116:L125">SUM(G116:K116)*0.06</f>
        <v>0</v>
      </c>
      <c r="M116" s="40">
        <f t="shared" si="39"/>
        <v>0</v>
      </c>
    </row>
    <row r="117" spans="4:13" ht="25.5">
      <c r="D117" s="52">
        <v>3.2</v>
      </c>
      <c r="E117" s="26" t="s">
        <v>276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f t="shared" si="42"/>
        <v>0</v>
      </c>
      <c r="M117" s="40">
        <f t="shared" si="39"/>
        <v>0</v>
      </c>
    </row>
    <row r="118" spans="2:13" ht="18" customHeight="1">
      <c r="B118" s="25">
        <v>4</v>
      </c>
      <c r="C118" s="26" t="s">
        <v>277</v>
      </c>
      <c r="F118" s="30" t="s">
        <v>266</v>
      </c>
      <c r="G118" s="40">
        <f aca="true" t="shared" si="43" ref="G118:L118">SUM(G119)</f>
        <v>0</v>
      </c>
      <c r="H118" s="40">
        <f t="shared" si="43"/>
        <v>0</v>
      </c>
      <c r="I118" s="40">
        <f t="shared" si="43"/>
        <v>0</v>
      </c>
      <c r="J118" s="40">
        <f t="shared" si="43"/>
        <v>0</v>
      </c>
      <c r="K118" s="40">
        <f t="shared" si="43"/>
        <v>0</v>
      </c>
      <c r="L118" s="40">
        <f t="shared" si="43"/>
        <v>0</v>
      </c>
      <c r="M118" s="40">
        <f t="shared" si="39"/>
        <v>0</v>
      </c>
    </row>
    <row r="119" spans="4:13" ht="25.5">
      <c r="D119" s="52">
        <v>4.1</v>
      </c>
      <c r="E119" s="26" t="s">
        <v>278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f t="shared" si="42"/>
        <v>0</v>
      </c>
      <c r="M119" s="40">
        <f t="shared" si="39"/>
        <v>0</v>
      </c>
    </row>
    <row r="120" spans="2:13" ht="20.25" customHeight="1">
      <c r="B120" s="25">
        <v>5</v>
      </c>
      <c r="C120" s="26" t="s">
        <v>279</v>
      </c>
      <c r="F120" s="30" t="s">
        <v>266</v>
      </c>
      <c r="G120" s="40">
        <f aca="true" t="shared" si="44" ref="G120:L120">+G121+G122</f>
        <v>0</v>
      </c>
      <c r="H120" s="40">
        <f t="shared" si="44"/>
        <v>0</v>
      </c>
      <c r="I120" s="40">
        <f t="shared" si="44"/>
        <v>0</v>
      </c>
      <c r="J120" s="40">
        <f t="shared" si="44"/>
        <v>0</v>
      </c>
      <c r="K120" s="40">
        <f t="shared" si="44"/>
        <v>12000</v>
      </c>
      <c r="L120" s="40">
        <f t="shared" si="44"/>
        <v>720</v>
      </c>
      <c r="M120" s="40">
        <f t="shared" si="39"/>
        <v>12720</v>
      </c>
    </row>
    <row r="121" spans="4:13" ht="25.5">
      <c r="D121" s="52">
        <v>5.1</v>
      </c>
      <c r="E121" s="26" t="s">
        <v>280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f t="shared" si="42"/>
        <v>0</v>
      </c>
      <c r="M121" s="40">
        <f t="shared" si="39"/>
        <v>0</v>
      </c>
    </row>
    <row r="122" spans="4:13" ht="22.5" customHeight="1">
      <c r="D122" s="52">
        <v>5.2</v>
      </c>
      <c r="E122" s="26" t="s">
        <v>281</v>
      </c>
      <c r="G122" s="40">
        <v>0</v>
      </c>
      <c r="H122" s="40">
        <v>0</v>
      </c>
      <c r="I122" s="40">
        <v>0</v>
      </c>
      <c r="J122" s="40">
        <v>0</v>
      </c>
      <c r="K122" s="40">
        <v>12000</v>
      </c>
      <c r="L122" s="40">
        <f t="shared" si="42"/>
        <v>720</v>
      </c>
      <c r="M122" s="40">
        <f t="shared" si="39"/>
        <v>12720</v>
      </c>
    </row>
    <row r="123" spans="2:13" ht="25.5">
      <c r="B123" s="25">
        <v>6</v>
      </c>
      <c r="C123" s="26" t="s">
        <v>282</v>
      </c>
      <c r="F123" s="30" t="s">
        <v>266</v>
      </c>
      <c r="G123" s="40">
        <f aca="true" t="shared" si="45" ref="G123:L123">+G124+G125</f>
        <v>0</v>
      </c>
      <c r="H123" s="40">
        <f t="shared" si="45"/>
        <v>0</v>
      </c>
      <c r="I123" s="40">
        <f t="shared" si="45"/>
        <v>0</v>
      </c>
      <c r="J123" s="40">
        <f t="shared" si="45"/>
        <v>0</v>
      </c>
      <c r="K123" s="40">
        <f t="shared" si="45"/>
        <v>0</v>
      </c>
      <c r="L123" s="40">
        <f t="shared" si="45"/>
        <v>0</v>
      </c>
      <c r="M123" s="40">
        <f t="shared" si="39"/>
        <v>0</v>
      </c>
    </row>
    <row r="124" spans="4:13" ht="25.5">
      <c r="D124" s="52">
        <v>6.1</v>
      </c>
      <c r="E124" s="26" t="s">
        <v>283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f t="shared" si="42"/>
        <v>0</v>
      </c>
      <c r="M124" s="40">
        <f t="shared" si="39"/>
        <v>0</v>
      </c>
    </row>
    <row r="125" spans="4:13" ht="51">
      <c r="D125" s="52">
        <v>6.2</v>
      </c>
      <c r="E125" s="26" t="s">
        <v>284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f t="shared" si="42"/>
        <v>0</v>
      </c>
      <c r="M125" s="40">
        <f t="shared" si="39"/>
        <v>0</v>
      </c>
    </row>
    <row r="126" spans="2:13" ht="24.75" customHeight="1">
      <c r="B126" s="25">
        <v>7</v>
      </c>
      <c r="C126" s="26" t="s">
        <v>285</v>
      </c>
      <c r="F126" s="30" t="s">
        <v>266</v>
      </c>
      <c r="G126" s="40">
        <f aca="true" t="shared" si="46" ref="G126:L126">+G127</f>
        <v>0</v>
      </c>
      <c r="H126" s="40">
        <f t="shared" si="46"/>
        <v>0</v>
      </c>
      <c r="I126" s="40">
        <f t="shared" si="46"/>
        <v>0</v>
      </c>
      <c r="J126" s="40">
        <f t="shared" si="46"/>
        <v>0</v>
      </c>
      <c r="K126" s="40">
        <f t="shared" si="46"/>
        <v>0</v>
      </c>
      <c r="L126" s="40">
        <f t="shared" si="46"/>
        <v>0</v>
      </c>
      <c r="M126" s="40">
        <f t="shared" si="39"/>
        <v>0</v>
      </c>
    </row>
    <row r="127" spans="4:13" ht="38.25">
      <c r="D127" s="52">
        <v>7.1</v>
      </c>
      <c r="E127" s="26" t="s">
        <v>286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f>SUM(G127:K127)*0.06</f>
        <v>0</v>
      </c>
      <c r="M127" s="40">
        <f t="shared" si="39"/>
        <v>0</v>
      </c>
    </row>
    <row r="128" spans="2:13" ht="25.5">
      <c r="B128" s="25">
        <v>8</v>
      </c>
      <c r="C128" s="26" t="s">
        <v>288</v>
      </c>
      <c r="F128" s="30" t="s">
        <v>266</v>
      </c>
      <c r="G128" s="40">
        <f aca="true" t="shared" si="47" ref="G128:L128">+G129</f>
        <v>0</v>
      </c>
      <c r="H128" s="40">
        <f t="shared" si="47"/>
        <v>0</v>
      </c>
      <c r="I128" s="40">
        <f t="shared" si="47"/>
        <v>0</v>
      </c>
      <c r="J128" s="40">
        <f t="shared" si="47"/>
        <v>0</v>
      </c>
      <c r="K128" s="40">
        <f t="shared" si="47"/>
        <v>0</v>
      </c>
      <c r="L128" s="40">
        <f t="shared" si="47"/>
        <v>0</v>
      </c>
      <c r="M128" s="40">
        <f t="shared" si="39"/>
        <v>0</v>
      </c>
    </row>
    <row r="129" spans="4:13" ht="38.25">
      <c r="D129" s="52">
        <v>8.1</v>
      </c>
      <c r="E129" s="26" t="s">
        <v>289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f>SUM(G129:K129)*0.06</f>
        <v>0</v>
      </c>
      <c r="M129" s="40">
        <f t="shared" si="39"/>
        <v>0</v>
      </c>
    </row>
    <row r="130" spans="2:13" ht="25.5">
      <c r="B130" s="25">
        <v>9</v>
      </c>
      <c r="C130" s="26" t="s">
        <v>290</v>
      </c>
      <c r="F130" s="30" t="s">
        <v>266</v>
      </c>
      <c r="G130" s="40">
        <f aca="true" t="shared" si="48" ref="G130:L130">+G131</f>
        <v>0</v>
      </c>
      <c r="H130" s="40">
        <f t="shared" si="48"/>
        <v>0</v>
      </c>
      <c r="I130" s="40">
        <f t="shared" si="48"/>
        <v>0</v>
      </c>
      <c r="J130" s="40">
        <f t="shared" si="48"/>
        <v>0</v>
      </c>
      <c r="K130" s="40">
        <f t="shared" si="48"/>
        <v>0</v>
      </c>
      <c r="L130" s="40">
        <f t="shared" si="48"/>
        <v>0</v>
      </c>
      <c r="M130" s="40">
        <f t="shared" si="39"/>
        <v>0</v>
      </c>
    </row>
    <row r="131" spans="4:13" ht="25.5">
      <c r="D131" s="52">
        <v>9.1</v>
      </c>
      <c r="E131" s="26" t="s">
        <v>291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f>SUM(G131:K131)*0.06</f>
        <v>0</v>
      </c>
      <c r="M131" s="40">
        <f t="shared" si="39"/>
        <v>0</v>
      </c>
    </row>
    <row r="132" spans="2:13" ht="12.75">
      <c r="B132" s="25">
        <v>10</v>
      </c>
      <c r="C132" s="26" t="s">
        <v>292</v>
      </c>
      <c r="F132" s="30" t="s">
        <v>266</v>
      </c>
      <c r="G132" s="40">
        <f aca="true" t="shared" si="49" ref="G132:L132">SUM(G133:G134)</f>
        <v>0</v>
      </c>
      <c r="H132" s="40">
        <f t="shared" si="49"/>
        <v>0</v>
      </c>
      <c r="I132" s="40">
        <f t="shared" si="49"/>
        <v>0</v>
      </c>
      <c r="J132" s="40">
        <f t="shared" si="49"/>
        <v>0</v>
      </c>
      <c r="K132" s="40">
        <f t="shared" si="49"/>
        <v>0</v>
      </c>
      <c r="L132" s="40">
        <f t="shared" si="49"/>
        <v>0</v>
      </c>
      <c r="M132" s="40">
        <f t="shared" si="39"/>
        <v>0</v>
      </c>
    </row>
    <row r="133" spans="4:13" ht="25.5">
      <c r="D133" s="52">
        <v>10.1</v>
      </c>
      <c r="E133" s="26" t="s">
        <v>293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f>SUM(G133:K133)*0.06</f>
        <v>0</v>
      </c>
      <c r="M133" s="40">
        <f t="shared" si="39"/>
        <v>0</v>
      </c>
    </row>
    <row r="134" spans="4:13" ht="25.5">
      <c r="D134" s="52">
        <v>10.2</v>
      </c>
      <c r="E134" s="26" t="s">
        <v>294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f>SUM(G134:K134)*0.06</f>
        <v>0</v>
      </c>
      <c r="M134" s="40">
        <f t="shared" si="39"/>
        <v>0</v>
      </c>
    </row>
    <row r="135" spans="2:13" ht="12.75">
      <c r="B135" s="25">
        <v>11</v>
      </c>
      <c r="C135" s="26" t="s">
        <v>295</v>
      </c>
      <c r="F135" s="30" t="s">
        <v>266</v>
      </c>
      <c r="G135" s="40">
        <f aca="true" t="shared" si="50" ref="G135:L135">SUM(G136:G138)</f>
        <v>0</v>
      </c>
      <c r="H135" s="40">
        <f t="shared" si="50"/>
        <v>0</v>
      </c>
      <c r="I135" s="40">
        <f t="shared" si="50"/>
        <v>96000</v>
      </c>
      <c r="J135" s="40">
        <f t="shared" si="50"/>
        <v>0</v>
      </c>
      <c r="K135" s="40">
        <f t="shared" si="50"/>
        <v>0</v>
      </c>
      <c r="L135" s="40">
        <f t="shared" si="50"/>
        <v>5760</v>
      </c>
      <c r="M135" s="40">
        <f aca="true" t="shared" si="51" ref="M135:M161">SUM(G135:L135)</f>
        <v>101760</v>
      </c>
    </row>
    <row r="136" spans="4:13" ht="12.75">
      <c r="D136" s="52">
        <v>11.1</v>
      </c>
      <c r="E136" s="26" t="s">
        <v>296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f>SUM(G136:K136)*0.06</f>
        <v>0</v>
      </c>
      <c r="M136" s="40">
        <f t="shared" si="51"/>
        <v>0</v>
      </c>
    </row>
    <row r="137" spans="4:13" ht="12.75">
      <c r="D137" s="52">
        <v>11.2</v>
      </c>
      <c r="E137" s="26" t="s">
        <v>297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f>SUM(G137:K137)*0.06</f>
        <v>0</v>
      </c>
      <c r="M137" s="40">
        <f t="shared" si="51"/>
        <v>0</v>
      </c>
    </row>
    <row r="138" spans="4:13" ht="25.5">
      <c r="D138" s="52">
        <v>11.3</v>
      </c>
      <c r="E138" s="26" t="s">
        <v>298</v>
      </c>
      <c r="G138" s="40">
        <v>0</v>
      </c>
      <c r="H138" s="40">
        <v>0</v>
      </c>
      <c r="I138" s="40">
        <v>96000</v>
      </c>
      <c r="J138" s="40">
        <v>0</v>
      </c>
      <c r="K138" s="40">
        <v>0</v>
      </c>
      <c r="L138" s="40">
        <f>SUM(G138:K138)*0.06</f>
        <v>5760</v>
      </c>
      <c r="M138" s="40">
        <f t="shared" si="51"/>
        <v>101760</v>
      </c>
    </row>
    <row r="139" spans="2:13" ht="17.25" customHeight="1">
      <c r="B139" s="25">
        <v>12</v>
      </c>
      <c r="C139" s="26" t="s">
        <v>299</v>
      </c>
      <c r="F139" s="30" t="s">
        <v>266</v>
      </c>
      <c r="G139" s="40">
        <f aca="true" t="shared" si="52" ref="G139:L139">SUM(G140:G141)</f>
        <v>0</v>
      </c>
      <c r="H139" s="40">
        <f t="shared" si="52"/>
        <v>0</v>
      </c>
      <c r="I139" s="40">
        <f t="shared" si="52"/>
        <v>0</v>
      </c>
      <c r="J139" s="40">
        <f t="shared" si="52"/>
        <v>0</v>
      </c>
      <c r="K139" s="40">
        <f t="shared" si="52"/>
        <v>0</v>
      </c>
      <c r="L139" s="40">
        <f t="shared" si="52"/>
        <v>0</v>
      </c>
      <c r="M139" s="40">
        <f t="shared" si="51"/>
        <v>0</v>
      </c>
    </row>
    <row r="140" spans="4:13" ht="25.5">
      <c r="D140" s="52">
        <v>12.1</v>
      </c>
      <c r="E140" s="26" t="s">
        <v>300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f>SUM(G140:K140)*0.06</f>
        <v>0</v>
      </c>
      <c r="M140" s="40">
        <f t="shared" si="51"/>
        <v>0</v>
      </c>
    </row>
    <row r="141" spans="4:13" ht="38.25">
      <c r="D141" s="52">
        <v>12.2</v>
      </c>
      <c r="E141" s="26" t="s">
        <v>301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f>SUM(G141:K141)*0.06</f>
        <v>0</v>
      </c>
      <c r="M141" s="40">
        <f t="shared" si="51"/>
        <v>0</v>
      </c>
    </row>
    <row r="142" spans="2:13" ht="12.75">
      <c r="B142" s="25">
        <v>13</v>
      </c>
      <c r="C142" s="26" t="s">
        <v>302</v>
      </c>
      <c r="F142" s="30" t="s">
        <v>266</v>
      </c>
      <c r="G142" s="40">
        <f aca="true" t="shared" si="53" ref="G142:L142">SUM(G143:G144)</f>
        <v>0</v>
      </c>
      <c r="H142" s="40">
        <f t="shared" si="53"/>
        <v>0</v>
      </c>
      <c r="I142" s="40">
        <f t="shared" si="53"/>
        <v>0</v>
      </c>
      <c r="J142" s="40">
        <f t="shared" si="53"/>
        <v>0</v>
      </c>
      <c r="K142" s="40">
        <f t="shared" si="53"/>
        <v>50000</v>
      </c>
      <c r="L142" s="40">
        <f t="shared" si="53"/>
        <v>3000</v>
      </c>
      <c r="M142" s="40">
        <f t="shared" si="51"/>
        <v>53000</v>
      </c>
    </row>
    <row r="143" spans="4:13" ht="12.75">
      <c r="D143" s="52">
        <v>13.1</v>
      </c>
      <c r="E143" s="26" t="s">
        <v>303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f>SUM(G143:K143)*0.06</f>
        <v>0</v>
      </c>
      <c r="M143" s="40">
        <f t="shared" si="51"/>
        <v>0</v>
      </c>
    </row>
    <row r="144" spans="4:13" ht="25.5">
      <c r="D144" s="52">
        <v>13.2</v>
      </c>
      <c r="E144" s="26" t="s">
        <v>304</v>
      </c>
      <c r="G144" s="40">
        <v>0</v>
      </c>
      <c r="H144" s="40">
        <v>0</v>
      </c>
      <c r="I144" s="40">
        <v>0</v>
      </c>
      <c r="J144" s="40">
        <v>0</v>
      </c>
      <c r="K144" s="40">
        <v>50000</v>
      </c>
      <c r="L144" s="40">
        <f>SUM(G144:K144)*0.06</f>
        <v>3000</v>
      </c>
      <c r="M144" s="40">
        <f t="shared" si="51"/>
        <v>53000</v>
      </c>
    </row>
    <row r="145" spans="2:13" ht="25.5">
      <c r="B145" s="25">
        <v>14</v>
      </c>
      <c r="C145" s="26" t="s">
        <v>305</v>
      </c>
      <c r="F145" s="30" t="s">
        <v>266</v>
      </c>
      <c r="G145" s="40">
        <f aca="true" t="shared" si="54" ref="G145:L145">SUM(G146:G147)</f>
        <v>0</v>
      </c>
      <c r="H145" s="40">
        <f t="shared" si="54"/>
        <v>0</v>
      </c>
      <c r="I145" s="40">
        <f t="shared" si="54"/>
        <v>0</v>
      </c>
      <c r="J145" s="40">
        <f t="shared" si="54"/>
        <v>0</v>
      </c>
      <c r="K145" s="40">
        <f t="shared" si="54"/>
        <v>0</v>
      </c>
      <c r="L145" s="40">
        <f t="shared" si="54"/>
        <v>0</v>
      </c>
      <c r="M145" s="40">
        <f t="shared" si="51"/>
        <v>0</v>
      </c>
    </row>
    <row r="146" spans="4:13" ht="15.75" customHeight="1">
      <c r="D146" s="52">
        <v>14.1</v>
      </c>
      <c r="E146" s="26" t="s">
        <v>306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f>SUM(G146:K146)*0.06</f>
        <v>0</v>
      </c>
      <c r="M146" s="40">
        <f t="shared" si="51"/>
        <v>0</v>
      </c>
    </row>
    <row r="147" spans="4:13" ht="15" customHeight="1">
      <c r="D147" s="52">
        <v>14.2</v>
      </c>
      <c r="E147" s="26" t="s">
        <v>307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f>SUM(G147:K147)*0.06</f>
        <v>0</v>
      </c>
      <c r="M147" s="40">
        <f t="shared" si="51"/>
        <v>0</v>
      </c>
    </row>
    <row r="148" spans="2:13" ht="38.25">
      <c r="B148" s="25">
        <v>15</v>
      </c>
      <c r="C148" s="26" t="s">
        <v>308</v>
      </c>
      <c r="F148" s="30" t="s">
        <v>266</v>
      </c>
      <c r="G148" s="40">
        <f aca="true" t="shared" si="55" ref="G148:L148">SUM(G149:G150)</f>
        <v>0</v>
      </c>
      <c r="H148" s="40">
        <f t="shared" si="55"/>
        <v>0</v>
      </c>
      <c r="I148" s="40">
        <f t="shared" si="55"/>
        <v>1354</v>
      </c>
      <c r="J148" s="40">
        <f t="shared" si="55"/>
        <v>0</v>
      </c>
      <c r="K148" s="40">
        <f t="shared" si="55"/>
        <v>0</v>
      </c>
      <c r="L148" s="40">
        <f t="shared" si="55"/>
        <v>81.24</v>
      </c>
      <c r="M148" s="40">
        <f t="shared" si="51"/>
        <v>1435.24</v>
      </c>
    </row>
    <row r="149" spans="4:13" ht="25.5">
      <c r="D149" s="52">
        <v>15.1</v>
      </c>
      <c r="E149" s="26" t="s">
        <v>309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f>SUM(G149:K149)*0.06</f>
        <v>0</v>
      </c>
      <c r="M149" s="40">
        <f t="shared" si="51"/>
        <v>0</v>
      </c>
    </row>
    <row r="150" spans="4:13" ht="12.75">
      <c r="D150" s="52">
        <v>15.2</v>
      </c>
      <c r="E150" s="26" t="s">
        <v>310</v>
      </c>
      <c r="G150" s="40">
        <v>0</v>
      </c>
      <c r="H150" s="40">
        <v>0</v>
      </c>
      <c r="I150" s="40">
        <v>1354</v>
      </c>
      <c r="J150" s="40">
        <v>0</v>
      </c>
      <c r="K150" s="40">
        <v>0</v>
      </c>
      <c r="L150" s="40">
        <f>SUM(G150:K150)*0.06</f>
        <v>81.24</v>
      </c>
      <c r="M150" s="40">
        <f t="shared" si="51"/>
        <v>1435.24</v>
      </c>
    </row>
    <row r="151" spans="2:13" ht="12.75">
      <c r="B151" s="25">
        <v>16</v>
      </c>
      <c r="C151" s="26" t="s">
        <v>311</v>
      </c>
      <c r="F151" s="30" t="s">
        <v>266</v>
      </c>
      <c r="G151" s="40">
        <f aca="true" t="shared" si="56" ref="G151:L151">SUM(G152)</f>
        <v>0</v>
      </c>
      <c r="H151" s="40">
        <f t="shared" si="56"/>
        <v>0</v>
      </c>
      <c r="I151" s="40">
        <f t="shared" si="56"/>
        <v>0</v>
      </c>
      <c r="J151" s="40">
        <f t="shared" si="56"/>
        <v>0</v>
      </c>
      <c r="K151" s="40">
        <f t="shared" si="56"/>
        <v>0</v>
      </c>
      <c r="L151" s="40">
        <f t="shared" si="56"/>
        <v>0</v>
      </c>
      <c r="M151" s="40">
        <f t="shared" si="51"/>
        <v>0</v>
      </c>
    </row>
    <row r="152" spans="4:13" ht="25.5">
      <c r="D152" s="52">
        <v>16.1</v>
      </c>
      <c r="E152" s="26" t="s">
        <v>312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f>SUM(G152:K152)*0.06</f>
        <v>0</v>
      </c>
      <c r="M152" s="40">
        <f t="shared" si="51"/>
        <v>0</v>
      </c>
    </row>
    <row r="153" spans="2:14" ht="12.75">
      <c r="B153" s="25">
        <v>17</v>
      </c>
      <c r="C153" s="26" t="s">
        <v>313</v>
      </c>
      <c r="F153" s="30" t="s">
        <v>266</v>
      </c>
      <c r="G153" s="40">
        <f aca="true" t="shared" si="57" ref="G153:L153">+G154</f>
        <v>0</v>
      </c>
      <c r="H153" s="40">
        <f t="shared" si="57"/>
        <v>0</v>
      </c>
      <c r="I153" s="40">
        <f t="shared" si="57"/>
        <v>0</v>
      </c>
      <c r="J153" s="40">
        <f t="shared" si="57"/>
        <v>0</v>
      </c>
      <c r="K153" s="40">
        <f t="shared" si="57"/>
        <v>0</v>
      </c>
      <c r="L153" s="40">
        <f t="shared" si="57"/>
        <v>0</v>
      </c>
      <c r="M153" s="40">
        <f t="shared" si="51"/>
        <v>0</v>
      </c>
      <c r="N153" s="31"/>
    </row>
    <row r="154" spans="4:13" ht="12.75">
      <c r="D154" s="52">
        <v>17.1</v>
      </c>
      <c r="E154" s="26" t="s">
        <v>346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f>SUM(G154:K154)*0.06</f>
        <v>0</v>
      </c>
      <c r="M154" s="40">
        <f t="shared" si="51"/>
        <v>0</v>
      </c>
    </row>
    <row r="155" spans="2:13" ht="12.75">
      <c r="B155" s="25">
        <v>18</v>
      </c>
      <c r="C155" s="26" t="s">
        <v>314</v>
      </c>
      <c r="F155" s="30" t="s">
        <v>266</v>
      </c>
      <c r="G155" s="40">
        <f aca="true" t="shared" si="58" ref="G155:L155">SUM(G156)</f>
        <v>0</v>
      </c>
      <c r="H155" s="40">
        <f t="shared" si="58"/>
        <v>0</v>
      </c>
      <c r="I155" s="40">
        <f t="shared" si="58"/>
        <v>0</v>
      </c>
      <c r="J155" s="40">
        <f t="shared" si="58"/>
        <v>0</v>
      </c>
      <c r="K155" s="40">
        <f t="shared" si="58"/>
        <v>0</v>
      </c>
      <c r="L155" s="40">
        <f t="shared" si="58"/>
        <v>0</v>
      </c>
      <c r="M155" s="40">
        <f t="shared" si="51"/>
        <v>0</v>
      </c>
    </row>
    <row r="156" spans="4:13" ht="25.5">
      <c r="D156" s="52">
        <v>18.1</v>
      </c>
      <c r="E156" s="26" t="s">
        <v>315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f>SUM(G156:K156)*0.06</f>
        <v>0</v>
      </c>
      <c r="M156" s="40">
        <f t="shared" si="51"/>
        <v>0</v>
      </c>
    </row>
    <row r="157" spans="2:13" ht="25.5">
      <c r="B157" s="25">
        <v>19</v>
      </c>
      <c r="C157" s="26" t="s">
        <v>316</v>
      </c>
      <c r="F157" s="30" t="s">
        <v>266</v>
      </c>
      <c r="G157" s="40">
        <f aca="true" t="shared" si="59" ref="G157:L157">SUM(G158:G160)</f>
        <v>0</v>
      </c>
      <c r="H157" s="40">
        <f t="shared" si="59"/>
        <v>0</v>
      </c>
      <c r="I157" s="40">
        <f t="shared" si="59"/>
        <v>0</v>
      </c>
      <c r="J157" s="40">
        <f t="shared" si="59"/>
        <v>0</v>
      </c>
      <c r="K157" s="40">
        <f t="shared" si="59"/>
        <v>0</v>
      </c>
      <c r="L157" s="40">
        <f t="shared" si="59"/>
        <v>0</v>
      </c>
      <c r="M157" s="40">
        <f t="shared" si="51"/>
        <v>0</v>
      </c>
    </row>
    <row r="158" spans="4:13" ht="51">
      <c r="D158" s="52">
        <v>19.1</v>
      </c>
      <c r="E158" s="26" t="s">
        <v>317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f>SUM(G158:K158)*0.06</f>
        <v>0</v>
      </c>
      <c r="M158" s="40">
        <f t="shared" si="51"/>
        <v>0</v>
      </c>
    </row>
    <row r="159" spans="4:13" ht="38.25">
      <c r="D159" s="52">
        <v>19.2</v>
      </c>
      <c r="E159" s="26" t="s">
        <v>318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f>SUM(G159:K159)*0.06</f>
        <v>0</v>
      </c>
      <c r="M159" s="40">
        <f t="shared" si="51"/>
        <v>0</v>
      </c>
    </row>
    <row r="160" spans="4:13" ht="38.25">
      <c r="D160" s="52">
        <v>19.3</v>
      </c>
      <c r="E160" s="26" t="s">
        <v>319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f>SUM(G160:K160)*0.06</f>
        <v>0</v>
      </c>
      <c r="M160" s="40">
        <f t="shared" si="51"/>
        <v>0</v>
      </c>
    </row>
    <row r="161" spans="2:13" ht="25.5">
      <c r="B161" s="25">
        <v>20</v>
      </c>
      <c r="C161" s="26" t="s">
        <v>320</v>
      </c>
      <c r="F161" s="30" t="s">
        <v>266</v>
      </c>
      <c r="G161" s="40">
        <f aca="true" t="shared" si="60" ref="G161:L161">SUM(G162)</f>
        <v>366000</v>
      </c>
      <c r="H161" s="40">
        <f t="shared" si="60"/>
        <v>0</v>
      </c>
      <c r="I161" s="40">
        <f t="shared" si="60"/>
        <v>0</v>
      </c>
      <c r="J161" s="40">
        <f t="shared" si="60"/>
        <v>0</v>
      </c>
      <c r="K161" s="40">
        <f t="shared" si="60"/>
        <v>0</v>
      </c>
      <c r="L161" s="40">
        <f t="shared" si="60"/>
        <v>21960</v>
      </c>
      <c r="M161" s="40">
        <f t="shared" si="51"/>
        <v>387960</v>
      </c>
    </row>
    <row r="162" spans="4:13" ht="12.75">
      <c r="D162" s="52">
        <v>20.1</v>
      </c>
      <c r="E162" s="26" t="s">
        <v>321</v>
      </c>
      <c r="G162" s="40">
        <v>366000</v>
      </c>
      <c r="H162" s="40">
        <v>0</v>
      </c>
      <c r="I162" s="40">
        <v>0</v>
      </c>
      <c r="J162" s="40">
        <v>0</v>
      </c>
      <c r="K162" s="40">
        <v>0</v>
      </c>
      <c r="L162" s="40">
        <f>SUM(G162:K162)*0.06</f>
        <v>21960</v>
      </c>
      <c r="M162" s="40">
        <f>SUM(G162:L162)</f>
        <v>387960</v>
      </c>
    </row>
    <row r="163" spans="7:13" ht="12.75">
      <c r="G163" s="40"/>
      <c r="H163" s="40"/>
      <c r="I163" s="40"/>
      <c r="J163" s="40"/>
      <c r="K163" s="40"/>
      <c r="M163" s="40"/>
    </row>
    <row r="164" spans="7:13" ht="12.75">
      <c r="G164" s="40"/>
      <c r="H164" s="40"/>
      <c r="I164" s="40"/>
      <c r="J164" s="40"/>
      <c r="K164" s="40"/>
      <c r="L164" s="40"/>
      <c r="M164" s="40"/>
    </row>
    <row r="165" spans="7:13" ht="12.75">
      <c r="G165" s="40"/>
      <c r="H165" s="40"/>
      <c r="I165" s="40"/>
      <c r="J165" s="40"/>
      <c r="K165" s="40"/>
      <c r="L165" s="40"/>
      <c r="M165" s="40"/>
    </row>
    <row r="166" spans="7:13" ht="12.75">
      <c r="G166" s="40"/>
      <c r="H166" s="40"/>
      <c r="I166" s="40"/>
      <c r="J166" s="40"/>
      <c r="K166" s="40"/>
      <c r="L166" s="40"/>
      <c r="M166" s="40"/>
    </row>
    <row r="167" spans="7:13" ht="12.75">
      <c r="G167" s="40"/>
      <c r="H167" s="40"/>
      <c r="I167" s="40"/>
      <c r="J167" s="40"/>
      <c r="K167" s="40"/>
      <c r="L167" s="40"/>
      <c r="M167" s="40"/>
    </row>
    <row r="168" spans="7:13" ht="12.75">
      <c r="G168" s="40"/>
      <c r="H168" s="40"/>
      <c r="I168" s="40"/>
      <c r="J168" s="40"/>
      <c r="K168" s="40"/>
      <c r="L168" s="40"/>
      <c r="M168" s="40"/>
    </row>
    <row r="169" spans="7:13" ht="12.75">
      <c r="G169" s="40"/>
      <c r="H169" s="40"/>
      <c r="I169" s="40"/>
      <c r="J169" s="40"/>
      <c r="K169" s="40"/>
      <c r="L169" s="40"/>
      <c r="M169" s="40"/>
    </row>
    <row r="170" spans="7:13" ht="12.75">
      <c r="G170" s="40"/>
      <c r="H170" s="40"/>
      <c r="I170" s="40"/>
      <c r="J170" s="40"/>
      <c r="K170" s="40"/>
      <c r="L170" s="40"/>
      <c r="M170" s="40"/>
    </row>
    <row r="171" spans="7:13" ht="12.75">
      <c r="G171" s="40"/>
      <c r="H171" s="40"/>
      <c r="I171" s="40"/>
      <c r="J171" s="40"/>
      <c r="K171" s="40"/>
      <c r="L171" s="40"/>
      <c r="M171" s="40"/>
    </row>
    <row r="172" spans="7:13" ht="12.75">
      <c r="G172" s="40"/>
      <c r="H172" s="40"/>
      <c r="I172" s="40"/>
      <c r="J172" s="40"/>
      <c r="K172" s="40"/>
      <c r="L172" s="40"/>
      <c r="M172" s="40"/>
    </row>
    <row r="173" spans="7:13" ht="12.75">
      <c r="G173" s="40"/>
      <c r="H173" s="40"/>
      <c r="I173" s="40"/>
      <c r="J173" s="40"/>
      <c r="K173" s="40"/>
      <c r="L173" s="40"/>
      <c r="M173" s="40"/>
    </row>
    <row r="174" spans="7:13" ht="12.75">
      <c r="G174" s="40"/>
      <c r="H174" s="40"/>
      <c r="I174" s="40"/>
      <c r="J174" s="40"/>
      <c r="K174" s="40"/>
      <c r="L174" s="40"/>
      <c r="M174" s="40"/>
    </row>
    <row r="175" spans="7:13" ht="12.75">
      <c r="G175" s="40"/>
      <c r="H175" s="40"/>
      <c r="I175" s="40"/>
      <c r="J175" s="40"/>
      <c r="K175" s="40"/>
      <c r="L175" s="40"/>
      <c r="M175" s="40"/>
    </row>
    <row r="176" spans="7:13" ht="12.75">
      <c r="G176" s="40"/>
      <c r="H176" s="40"/>
      <c r="I176" s="40"/>
      <c r="J176" s="40"/>
      <c r="K176" s="40"/>
      <c r="L176" s="40"/>
      <c r="M176" s="40"/>
    </row>
    <row r="177" spans="7:13" ht="12.75">
      <c r="G177" s="40"/>
      <c r="H177" s="40"/>
      <c r="I177" s="40"/>
      <c r="J177" s="40"/>
      <c r="K177" s="40"/>
      <c r="L177" s="40"/>
      <c r="M177" s="40"/>
    </row>
    <row r="178" spans="7:13" ht="12.75">
      <c r="G178" s="40"/>
      <c r="H178" s="40"/>
      <c r="I178" s="40"/>
      <c r="J178" s="40"/>
      <c r="K178" s="40"/>
      <c r="L178" s="40"/>
      <c r="M178" s="40"/>
    </row>
  </sheetData>
  <printOptions gridLines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5" r:id="rId1"/>
  <headerFooter alignWithMargins="0">
    <oddFooter>&amp;R&amp;8Page &amp;P</oddFooter>
  </headerFooter>
  <rowBreaks count="1" manualBreakCount="1">
    <brk id="15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Q254"/>
  <sheetViews>
    <sheetView zoomScaleSheetLayoutView="70" workbookViewId="0" topLeftCell="G1">
      <selection activeCell="H11" sqref="H11"/>
    </sheetView>
  </sheetViews>
  <sheetFormatPr defaultColWidth="9.140625" defaultRowHeight="12.75"/>
  <cols>
    <col min="1" max="1" width="13.140625" style="0" customWidth="1"/>
    <col min="2" max="2" width="5.140625" style="97" customWidth="1"/>
    <col min="3" max="3" width="28.421875" style="8" customWidth="1"/>
    <col min="4" max="4" width="33.28125" style="10" customWidth="1"/>
    <col min="5" max="5" width="11.421875" style="1" customWidth="1"/>
    <col min="6" max="6" width="13.00390625" style="1" customWidth="1"/>
    <col min="7" max="7" width="12.140625" style="1" bestFit="1" customWidth="1"/>
    <col min="8" max="8" width="16.140625" style="1" bestFit="1" customWidth="1"/>
    <col min="9" max="9" width="9.28125" style="1" hidden="1" customWidth="1"/>
    <col min="10" max="10" width="10.8515625" style="1" customWidth="1"/>
    <col min="11" max="11" width="13.421875" style="1" customWidth="1"/>
    <col min="12" max="12" width="13.00390625" style="1" customWidth="1"/>
    <col min="13" max="13" width="17.8515625" style="1" bestFit="1" customWidth="1"/>
    <col min="14" max="14" width="11.421875" style="1" customWidth="1"/>
    <col min="15" max="15" width="15.00390625" style="1" customWidth="1"/>
    <col min="16" max="16" width="17.7109375" style="24" customWidth="1"/>
  </cols>
  <sheetData>
    <row r="1" spans="1:15" ht="15.75">
      <c r="A1" s="14" t="s">
        <v>685</v>
      </c>
      <c r="B1" s="9"/>
      <c r="C1" s="9"/>
      <c r="D1" s="2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92" customFormat="1" ht="35.25" customHeight="1">
      <c r="A2" s="92" t="s">
        <v>66</v>
      </c>
      <c r="C2" s="21" t="s">
        <v>172</v>
      </c>
      <c r="D2" s="18" t="s">
        <v>67</v>
      </c>
      <c r="E2" s="18" t="s">
        <v>325</v>
      </c>
      <c r="F2" s="21" t="s">
        <v>61</v>
      </c>
      <c r="G2" s="21" t="s">
        <v>62</v>
      </c>
      <c r="H2" s="18" t="s">
        <v>3</v>
      </c>
      <c r="I2" s="18" t="s">
        <v>333</v>
      </c>
      <c r="J2" s="21" t="s">
        <v>63</v>
      </c>
      <c r="K2" s="18" t="s">
        <v>16</v>
      </c>
      <c r="L2" s="18" t="s">
        <v>4</v>
      </c>
      <c r="M2" s="21" t="s">
        <v>360</v>
      </c>
      <c r="N2" s="21" t="s">
        <v>64</v>
      </c>
      <c r="O2" s="21" t="s">
        <v>65</v>
      </c>
      <c r="P2" s="68"/>
    </row>
    <row r="3" spans="1:15" ht="12.75">
      <c r="A3" s="24"/>
      <c r="B3" s="77"/>
      <c r="C3" s="25"/>
      <c r="D3" s="26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35" customFormat="1" ht="15">
      <c r="A4" s="2" t="s">
        <v>46</v>
      </c>
      <c r="B4" s="106"/>
      <c r="C4" s="9"/>
      <c r="D4" s="23" t="s">
        <v>330</v>
      </c>
      <c r="E4" s="3"/>
      <c r="F4" s="33">
        <f>+F6+F78+F144</f>
        <v>2999000</v>
      </c>
      <c r="G4" s="33">
        <f aca="true" t="shared" si="0" ref="G4:N4">+G6+G78+G144</f>
        <v>92000</v>
      </c>
      <c r="H4" s="33">
        <f t="shared" si="0"/>
        <v>3291200</v>
      </c>
      <c r="I4" s="33">
        <f t="shared" si="0"/>
        <v>0</v>
      </c>
      <c r="J4" s="33">
        <f t="shared" si="0"/>
        <v>694100</v>
      </c>
      <c r="K4" s="33">
        <f t="shared" si="0"/>
        <v>102000</v>
      </c>
      <c r="L4" s="33">
        <f t="shared" si="0"/>
        <v>0</v>
      </c>
      <c r="M4" s="33">
        <f t="shared" si="0"/>
        <v>61900000</v>
      </c>
      <c r="N4" s="33">
        <f t="shared" si="0"/>
        <v>2287698</v>
      </c>
      <c r="O4" s="33">
        <f>SUM(F4:N4)</f>
        <v>71365998</v>
      </c>
      <c r="P4" s="57"/>
    </row>
    <row r="5" spans="1:15" ht="12.75">
      <c r="A5" s="24"/>
      <c r="B5" s="77"/>
      <c r="C5" s="25"/>
      <c r="D5" s="26"/>
      <c r="E5" s="3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s="2" customFormat="1" ht="12.75">
      <c r="A6" s="2" t="s">
        <v>47</v>
      </c>
      <c r="B6" s="106"/>
      <c r="C6" s="9"/>
      <c r="D6" s="23" t="s">
        <v>343</v>
      </c>
      <c r="E6" s="3"/>
      <c r="F6" s="33">
        <f>+F8+F29+F47+F55+F63+F66+F71</f>
        <v>1300000</v>
      </c>
      <c r="G6" s="33">
        <f aca="true" t="shared" si="1" ref="G6:N6">+G8+G29+G47+G55+G63+G66+G71</f>
        <v>0</v>
      </c>
      <c r="H6" s="33">
        <f t="shared" si="1"/>
        <v>827200</v>
      </c>
      <c r="I6" s="33">
        <f t="shared" si="1"/>
        <v>0</v>
      </c>
      <c r="J6" s="33">
        <f t="shared" si="1"/>
        <v>563000</v>
      </c>
      <c r="K6" s="33">
        <f t="shared" si="1"/>
        <v>0</v>
      </c>
      <c r="L6" s="33">
        <f t="shared" si="1"/>
        <v>0</v>
      </c>
      <c r="M6" s="33">
        <f t="shared" si="1"/>
        <v>0</v>
      </c>
      <c r="N6" s="33">
        <f t="shared" si="1"/>
        <v>161412</v>
      </c>
      <c r="O6" s="33">
        <f>SUM(F6:N6)</f>
        <v>2851612</v>
      </c>
      <c r="P6" s="32"/>
    </row>
    <row r="7" spans="1:15" ht="12.75">
      <c r="A7" s="24"/>
      <c r="B7" s="77"/>
      <c r="C7" s="25"/>
      <c r="D7" s="26"/>
      <c r="E7" s="3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2.75">
      <c r="A8" s="24"/>
      <c r="B8" s="77">
        <v>1</v>
      </c>
      <c r="C8" s="25" t="s">
        <v>361</v>
      </c>
      <c r="D8" s="26"/>
      <c r="E8" s="30" t="s">
        <v>43</v>
      </c>
      <c r="F8" s="40">
        <v>0</v>
      </c>
      <c r="G8" s="40">
        <v>0</v>
      </c>
      <c r="H8" s="40">
        <v>74200</v>
      </c>
      <c r="I8" s="40">
        <v>0</v>
      </c>
      <c r="J8" s="40">
        <v>315000</v>
      </c>
      <c r="K8" s="40">
        <v>0</v>
      </c>
      <c r="L8" s="40">
        <v>0</v>
      </c>
      <c r="M8" s="40">
        <v>0</v>
      </c>
      <c r="N8" s="40">
        <f>+N9+N10+N11+N12+N13+N14+N15+N16+N17+N18+N19+N20+N21+N22+N23+N24+N25+N26+N27</f>
        <v>23352</v>
      </c>
      <c r="O8" s="40">
        <f aca="true" t="shared" si="2" ref="O8:O27">SUM(F8:N8)</f>
        <v>412552</v>
      </c>
    </row>
    <row r="9" spans="1:15" ht="38.25">
      <c r="A9" s="24"/>
      <c r="B9" s="77"/>
      <c r="C9" s="25">
        <v>1.1</v>
      </c>
      <c r="D9" s="26" t="s">
        <v>362</v>
      </c>
      <c r="E9" s="30"/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f aca="true" t="shared" si="3" ref="N9:N27">SUM(F9:M9)*0.06</f>
        <v>0</v>
      </c>
      <c r="O9" s="40">
        <f t="shared" si="2"/>
        <v>0</v>
      </c>
    </row>
    <row r="10" spans="1:15" ht="51">
      <c r="A10" s="24"/>
      <c r="B10" s="77"/>
      <c r="C10" s="25">
        <v>1.2</v>
      </c>
      <c r="D10" s="26" t="s">
        <v>363</v>
      </c>
      <c r="E10" s="30"/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f t="shared" si="3"/>
        <v>0</v>
      </c>
      <c r="O10" s="40">
        <f t="shared" si="2"/>
        <v>0</v>
      </c>
    </row>
    <row r="11" spans="1:15" ht="25.5">
      <c r="A11" s="24"/>
      <c r="B11" s="77"/>
      <c r="C11" s="25">
        <v>1.3</v>
      </c>
      <c r="D11" s="26" t="s">
        <v>364</v>
      </c>
      <c r="E11" s="30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f t="shared" si="3"/>
        <v>0</v>
      </c>
      <c r="O11" s="40">
        <f t="shared" si="2"/>
        <v>0</v>
      </c>
    </row>
    <row r="12" spans="1:15" ht="38.25">
      <c r="A12" s="24"/>
      <c r="B12" s="77"/>
      <c r="C12" s="25">
        <v>1.4</v>
      </c>
      <c r="D12" s="26" t="s">
        <v>365</v>
      </c>
      <c r="E12" s="30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f t="shared" si="3"/>
        <v>0</v>
      </c>
      <c r="O12" s="40">
        <f t="shared" si="2"/>
        <v>0</v>
      </c>
    </row>
    <row r="13" spans="1:15" ht="12.75">
      <c r="A13" s="24"/>
      <c r="B13" s="77"/>
      <c r="C13" s="25">
        <v>1.5</v>
      </c>
      <c r="D13" s="26" t="s">
        <v>366</v>
      </c>
      <c r="E13" s="30"/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f t="shared" si="3"/>
        <v>0</v>
      </c>
      <c r="O13" s="40">
        <f t="shared" si="2"/>
        <v>0</v>
      </c>
    </row>
    <row r="14" spans="1:15" ht="12.75">
      <c r="A14" s="24"/>
      <c r="B14" s="77"/>
      <c r="C14" s="25">
        <v>1.6</v>
      </c>
      <c r="D14" s="26" t="s">
        <v>367</v>
      </c>
      <c r="E14" s="30"/>
      <c r="F14" s="40">
        <v>0</v>
      </c>
      <c r="G14" s="40">
        <v>0</v>
      </c>
      <c r="H14" s="40">
        <v>0</v>
      </c>
      <c r="I14" s="40">
        <v>0</v>
      </c>
      <c r="J14" s="40">
        <v>315000</v>
      </c>
      <c r="K14" s="40">
        <v>0</v>
      </c>
      <c r="L14" s="40">
        <v>0</v>
      </c>
      <c r="M14" s="40">
        <v>0</v>
      </c>
      <c r="N14" s="40">
        <f t="shared" si="3"/>
        <v>18900</v>
      </c>
      <c r="O14" s="40">
        <f t="shared" si="2"/>
        <v>333900</v>
      </c>
    </row>
    <row r="15" spans="1:15" ht="12.75">
      <c r="A15" s="24"/>
      <c r="B15" s="77"/>
      <c r="C15" s="25">
        <v>1.7</v>
      </c>
      <c r="D15" s="26" t="s">
        <v>368</v>
      </c>
      <c r="E15" s="30"/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f t="shared" si="3"/>
        <v>0</v>
      </c>
      <c r="O15" s="40">
        <f t="shared" si="2"/>
        <v>0</v>
      </c>
    </row>
    <row r="16" spans="1:15" ht="25.5">
      <c r="A16" s="24"/>
      <c r="B16" s="77"/>
      <c r="C16" s="25">
        <v>1.8</v>
      </c>
      <c r="D16" s="26" t="s">
        <v>369</v>
      </c>
      <c r="E16" s="30"/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f t="shared" si="3"/>
        <v>0</v>
      </c>
      <c r="O16" s="40">
        <f t="shared" si="2"/>
        <v>0</v>
      </c>
    </row>
    <row r="17" spans="1:15" ht="12.75">
      <c r="A17" s="24"/>
      <c r="B17" s="77"/>
      <c r="C17" s="25">
        <v>1.9</v>
      </c>
      <c r="D17" s="26" t="s">
        <v>370</v>
      </c>
      <c r="E17" s="30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f t="shared" si="3"/>
        <v>0</v>
      </c>
      <c r="O17" s="40">
        <f t="shared" si="2"/>
        <v>0</v>
      </c>
    </row>
    <row r="18" spans="1:15" ht="38.25">
      <c r="A18" s="24"/>
      <c r="B18" s="77"/>
      <c r="C18" s="25">
        <v>1.91</v>
      </c>
      <c r="D18" s="26" t="s">
        <v>371</v>
      </c>
      <c r="E18" s="30"/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f t="shared" si="3"/>
        <v>0</v>
      </c>
      <c r="O18" s="40">
        <f t="shared" si="2"/>
        <v>0</v>
      </c>
    </row>
    <row r="19" spans="1:15" ht="25.5">
      <c r="A19" s="24"/>
      <c r="B19" s="77"/>
      <c r="C19" s="25">
        <v>1.92</v>
      </c>
      <c r="D19" s="26" t="s">
        <v>372</v>
      </c>
      <c r="E19" s="30"/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f t="shared" si="3"/>
        <v>0</v>
      </c>
      <c r="O19" s="40">
        <f t="shared" si="2"/>
        <v>0</v>
      </c>
    </row>
    <row r="20" spans="1:15" ht="25.5">
      <c r="A20" s="24"/>
      <c r="B20" s="77"/>
      <c r="C20" s="25">
        <v>1.93</v>
      </c>
      <c r="D20" s="26" t="s">
        <v>373</v>
      </c>
      <c r="E20" s="30"/>
      <c r="F20" s="40">
        <v>0</v>
      </c>
      <c r="G20" s="40">
        <v>0</v>
      </c>
      <c r="H20" s="40">
        <v>74200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f t="shared" si="3"/>
        <v>4452</v>
      </c>
      <c r="O20" s="40">
        <f t="shared" si="2"/>
        <v>78652</v>
      </c>
    </row>
    <row r="21" spans="1:15" ht="25.5">
      <c r="A21" s="24"/>
      <c r="B21" s="77"/>
      <c r="C21" s="25">
        <v>1.94</v>
      </c>
      <c r="D21" s="26" t="s">
        <v>374</v>
      </c>
      <c r="E21" s="30"/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f t="shared" si="3"/>
        <v>0</v>
      </c>
      <c r="O21" s="40">
        <f t="shared" si="2"/>
        <v>0</v>
      </c>
    </row>
    <row r="22" spans="1:15" ht="38.25">
      <c r="A22" s="24"/>
      <c r="B22" s="77"/>
      <c r="C22" s="25">
        <v>1.95</v>
      </c>
      <c r="D22" s="26" t="s">
        <v>375</v>
      </c>
      <c r="E22" s="30"/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f t="shared" si="3"/>
        <v>0</v>
      </c>
      <c r="O22" s="40">
        <f t="shared" si="2"/>
        <v>0</v>
      </c>
    </row>
    <row r="23" spans="1:15" ht="25.5">
      <c r="A23" s="24"/>
      <c r="B23" s="77"/>
      <c r="C23" s="25">
        <v>1.96</v>
      </c>
      <c r="D23" s="26" t="s">
        <v>376</v>
      </c>
      <c r="E23" s="30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f t="shared" si="3"/>
        <v>0</v>
      </c>
      <c r="O23" s="40">
        <f t="shared" si="2"/>
        <v>0</v>
      </c>
    </row>
    <row r="24" spans="1:15" ht="25.5">
      <c r="A24" s="24"/>
      <c r="B24" s="77"/>
      <c r="C24" s="25">
        <v>1.97</v>
      </c>
      <c r="D24" s="26" t="s">
        <v>377</v>
      </c>
      <c r="E24" s="30"/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f t="shared" si="3"/>
        <v>0</v>
      </c>
      <c r="O24" s="40">
        <f t="shared" si="2"/>
        <v>0</v>
      </c>
    </row>
    <row r="25" spans="1:15" ht="25.5">
      <c r="A25" s="24"/>
      <c r="B25" s="77"/>
      <c r="C25" s="25">
        <v>1.98</v>
      </c>
      <c r="D25" s="26" t="s">
        <v>378</v>
      </c>
      <c r="E25" s="30"/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f t="shared" si="3"/>
        <v>0</v>
      </c>
      <c r="O25" s="40">
        <f t="shared" si="2"/>
        <v>0</v>
      </c>
    </row>
    <row r="26" spans="1:15" ht="38.25">
      <c r="A26" s="24"/>
      <c r="B26" s="77"/>
      <c r="C26" s="25">
        <v>1.99</v>
      </c>
      <c r="D26" s="26" t="s">
        <v>379</v>
      </c>
      <c r="E26" s="30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f t="shared" si="3"/>
        <v>0</v>
      </c>
      <c r="O26" s="40">
        <f t="shared" si="2"/>
        <v>0</v>
      </c>
    </row>
    <row r="27" spans="1:15" ht="25.5">
      <c r="A27" s="24"/>
      <c r="B27" s="77"/>
      <c r="C27" s="25">
        <v>1.991</v>
      </c>
      <c r="D27" s="26" t="s">
        <v>380</v>
      </c>
      <c r="E27" s="30"/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f t="shared" si="3"/>
        <v>0</v>
      </c>
      <c r="O27" s="40">
        <f t="shared" si="2"/>
        <v>0</v>
      </c>
    </row>
    <row r="28" spans="1:15" ht="12.75">
      <c r="A28" s="24"/>
      <c r="B28" s="77"/>
      <c r="C28" s="25"/>
      <c r="D28" s="26"/>
      <c r="E28" s="3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6" s="152" customFormat="1" ht="38.25">
      <c r="A29" s="150"/>
      <c r="B29" s="150">
        <v>2</v>
      </c>
      <c r="C29" s="26" t="s">
        <v>381</v>
      </c>
      <c r="D29" s="26"/>
      <c r="E29" s="26" t="s">
        <v>43</v>
      </c>
      <c r="F29" s="151">
        <v>0</v>
      </c>
      <c r="G29" s="151">
        <v>0</v>
      </c>
      <c r="H29" s="151">
        <v>658000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f>+N30+N31+N32+N33+N34+N35+N36+N37+N38+N39+N40+N41+N42+N43+N44+N45</f>
        <v>39480</v>
      </c>
      <c r="O29" s="151">
        <f aca="true" t="shared" si="4" ref="O29:O45">SUM(F29:N29)</f>
        <v>697480</v>
      </c>
      <c r="P29" s="150"/>
    </row>
    <row r="30" spans="1:15" ht="51">
      <c r="A30" s="24"/>
      <c r="B30" s="77"/>
      <c r="C30" s="25">
        <v>2.1</v>
      </c>
      <c r="D30" s="26" t="s">
        <v>382</v>
      </c>
      <c r="E30" s="30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f aca="true" t="shared" si="5" ref="N30:N45">SUM(F30:M30)*0.06</f>
        <v>0</v>
      </c>
      <c r="O30" s="40">
        <f t="shared" si="4"/>
        <v>0</v>
      </c>
    </row>
    <row r="31" spans="1:15" ht="25.5">
      <c r="A31" s="24"/>
      <c r="B31" s="77"/>
      <c r="C31" s="25">
        <v>2.2</v>
      </c>
      <c r="D31" s="26" t="s">
        <v>383</v>
      </c>
      <c r="E31" s="30"/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f t="shared" si="5"/>
        <v>0</v>
      </c>
      <c r="O31" s="40">
        <f t="shared" si="4"/>
        <v>0</v>
      </c>
    </row>
    <row r="32" spans="1:15" ht="12.75">
      <c r="A32" s="24"/>
      <c r="B32" s="77"/>
      <c r="C32" s="25">
        <v>2.3</v>
      </c>
      <c r="D32" s="26" t="s">
        <v>384</v>
      </c>
      <c r="E32" s="30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f t="shared" si="5"/>
        <v>0</v>
      </c>
      <c r="O32" s="40">
        <f t="shared" si="4"/>
        <v>0</v>
      </c>
    </row>
    <row r="33" spans="1:15" ht="25.5">
      <c r="A33" s="24"/>
      <c r="B33" s="77"/>
      <c r="C33" s="25">
        <v>2.4</v>
      </c>
      <c r="D33" s="26" t="s">
        <v>385</v>
      </c>
      <c r="E33" s="30"/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f t="shared" si="5"/>
        <v>0</v>
      </c>
      <c r="O33" s="40">
        <f t="shared" si="4"/>
        <v>0</v>
      </c>
    </row>
    <row r="34" spans="1:15" ht="38.25">
      <c r="A34" s="24"/>
      <c r="B34" s="77"/>
      <c r="C34" s="25">
        <v>2.5</v>
      </c>
      <c r="D34" s="26" t="s">
        <v>386</v>
      </c>
      <c r="E34" s="30"/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f t="shared" si="5"/>
        <v>0</v>
      </c>
      <c r="O34" s="40">
        <f t="shared" si="4"/>
        <v>0</v>
      </c>
    </row>
    <row r="35" spans="1:15" ht="38.25">
      <c r="A35" s="24"/>
      <c r="B35" s="77"/>
      <c r="C35" s="25">
        <v>2.6</v>
      </c>
      <c r="D35" s="26" t="s">
        <v>387</v>
      </c>
      <c r="E35" s="30"/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f t="shared" si="5"/>
        <v>0</v>
      </c>
      <c r="O35" s="40">
        <f t="shared" si="4"/>
        <v>0</v>
      </c>
    </row>
    <row r="36" spans="1:15" ht="12.75">
      <c r="A36" s="24"/>
      <c r="B36" s="77"/>
      <c r="C36" s="25">
        <v>2.7</v>
      </c>
      <c r="D36" s="26" t="s">
        <v>388</v>
      </c>
      <c r="E36" s="30"/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f t="shared" si="5"/>
        <v>0</v>
      </c>
      <c r="O36" s="40">
        <f t="shared" si="4"/>
        <v>0</v>
      </c>
    </row>
    <row r="37" spans="1:15" ht="25.5">
      <c r="A37" s="24"/>
      <c r="B37" s="77"/>
      <c r="C37" s="25">
        <v>2.8</v>
      </c>
      <c r="D37" s="26" t="s">
        <v>389</v>
      </c>
      <c r="E37" s="30"/>
      <c r="F37" s="40">
        <v>0</v>
      </c>
      <c r="G37" s="40">
        <v>0</v>
      </c>
      <c r="H37" s="40">
        <v>541800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f t="shared" si="5"/>
        <v>32508</v>
      </c>
      <c r="O37" s="40">
        <f t="shared" si="4"/>
        <v>574308</v>
      </c>
    </row>
    <row r="38" spans="1:15" ht="38.25">
      <c r="A38" s="24"/>
      <c r="B38" s="77"/>
      <c r="C38" s="25">
        <v>2.9</v>
      </c>
      <c r="D38" s="26" t="s">
        <v>390</v>
      </c>
      <c r="E38" s="30"/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f t="shared" si="5"/>
        <v>0</v>
      </c>
      <c r="O38" s="40">
        <f t="shared" si="4"/>
        <v>0</v>
      </c>
    </row>
    <row r="39" spans="1:15" ht="38.25">
      <c r="A39" s="24"/>
      <c r="B39" s="77"/>
      <c r="C39" s="25">
        <v>2.91</v>
      </c>
      <c r="D39" s="26" t="s">
        <v>391</v>
      </c>
      <c r="E39" s="30"/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f t="shared" si="5"/>
        <v>0</v>
      </c>
      <c r="O39" s="40">
        <f t="shared" si="4"/>
        <v>0</v>
      </c>
    </row>
    <row r="40" spans="1:15" ht="25.5">
      <c r="A40" s="24"/>
      <c r="B40" s="77"/>
      <c r="C40" s="25">
        <v>2.92</v>
      </c>
      <c r="D40" s="26" t="s">
        <v>392</v>
      </c>
      <c r="E40" s="30"/>
      <c r="F40" s="40">
        <v>0</v>
      </c>
      <c r="G40" s="40">
        <v>0</v>
      </c>
      <c r="H40" s="40">
        <v>116200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f t="shared" si="5"/>
        <v>6972</v>
      </c>
      <c r="O40" s="40">
        <f t="shared" si="4"/>
        <v>123172</v>
      </c>
    </row>
    <row r="41" spans="1:15" ht="25.5">
      <c r="A41" s="24"/>
      <c r="B41" s="77"/>
      <c r="C41" s="25">
        <v>2.93</v>
      </c>
      <c r="D41" s="26" t="s">
        <v>393</v>
      </c>
      <c r="E41" s="30"/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f t="shared" si="5"/>
        <v>0</v>
      </c>
      <c r="O41" s="40">
        <f t="shared" si="4"/>
        <v>0</v>
      </c>
    </row>
    <row r="42" spans="1:15" ht="25.5">
      <c r="A42" s="24"/>
      <c r="B42" s="77"/>
      <c r="C42" s="25">
        <v>2.94</v>
      </c>
      <c r="D42" s="26" t="s">
        <v>394</v>
      </c>
      <c r="E42" s="30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f t="shared" si="5"/>
        <v>0</v>
      </c>
      <c r="O42" s="40">
        <f t="shared" si="4"/>
        <v>0</v>
      </c>
    </row>
    <row r="43" spans="1:15" ht="25.5">
      <c r="A43" s="24"/>
      <c r="B43" s="77"/>
      <c r="C43" s="25">
        <v>2.95</v>
      </c>
      <c r="D43" s="26" t="s">
        <v>395</v>
      </c>
      <c r="E43" s="30"/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f t="shared" si="5"/>
        <v>0</v>
      </c>
      <c r="O43" s="40">
        <f t="shared" si="4"/>
        <v>0</v>
      </c>
    </row>
    <row r="44" spans="1:15" ht="25.5">
      <c r="A44" s="24"/>
      <c r="B44" s="77"/>
      <c r="C44" s="25">
        <v>2.96</v>
      </c>
      <c r="D44" s="26" t="s">
        <v>396</v>
      </c>
      <c r="E44" s="30"/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f t="shared" si="5"/>
        <v>0</v>
      </c>
      <c r="O44" s="40">
        <f t="shared" si="4"/>
        <v>0</v>
      </c>
    </row>
    <row r="45" spans="1:15" ht="25.5">
      <c r="A45" s="24"/>
      <c r="B45" s="77"/>
      <c r="C45" s="25">
        <v>2.97</v>
      </c>
      <c r="D45" s="26" t="s">
        <v>397</v>
      </c>
      <c r="E45" s="30"/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f t="shared" si="5"/>
        <v>0</v>
      </c>
      <c r="O45" s="40">
        <f t="shared" si="4"/>
        <v>0</v>
      </c>
    </row>
    <row r="46" spans="1:15" ht="12.75">
      <c r="A46" s="24"/>
      <c r="B46" s="77"/>
      <c r="C46" s="25"/>
      <c r="D46" s="26"/>
      <c r="E46" s="3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2.75">
      <c r="A47" s="24"/>
      <c r="B47" s="77">
        <v>3</v>
      </c>
      <c r="C47" s="25" t="s">
        <v>398</v>
      </c>
      <c r="D47" s="26"/>
      <c r="E47" s="30" t="s">
        <v>43</v>
      </c>
      <c r="F47" s="40">
        <v>0</v>
      </c>
      <c r="G47" s="40">
        <v>0</v>
      </c>
      <c r="H47" s="40">
        <v>0</v>
      </c>
      <c r="I47" s="40">
        <v>0</v>
      </c>
      <c r="J47" s="40">
        <v>248000</v>
      </c>
      <c r="K47" s="40">
        <v>0</v>
      </c>
      <c r="L47" s="40">
        <v>0</v>
      </c>
      <c r="M47" s="40">
        <v>0</v>
      </c>
      <c r="N47" s="40">
        <f>+N48+N49+N50+N51+N52+N53</f>
        <v>14880</v>
      </c>
      <c r="O47" s="40">
        <f aca="true" t="shared" si="6" ref="O47:O53">SUM(F47:N47)</f>
        <v>262880</v>
      </c>
    </row>
    <row r="48" spans="1:15" ht="25.5">
      <c r="A48" s="24"/>
      <c r="B48" s="77"/>
      <c r="C48" s="25">
        <v>3.1</v>
      </c>
      <c r="D48" s="26" t="s">
        <v>399</v>
      </c>
      <c r="E48" s="30"/>
      <c r="F48" s="40">
        <v>0</v>
      </c>
      <c r="G48" s="40">
        <v>0</v>
      </c>
      <c r="H48" s="40">
        <v>0</v>
      </c>
      <c r="I48" s="40">
        <v>0</v>
      </c>
      <c r="J48" s="40">
        <v>48000</v>
      </c>
      <c r="K48" s="40">
        <v>0</v>
      </c>
      <c r="L48" s="40">
        <v>0</v>
      </c>
      <c r="M48" s="40">
        <v>0</v>
      </c>
      <c r="N48" s="40">
        <f aca="true" t="shared" si="7" ref="N48:N53">SUM(F48:M48)*0.06</f>
        <v>2880</v>
      </c>
      <c r="O48" s="40">
        <f t="shared" si="6"/>
        <v>50880</v>
      </c>
    </row>
    <row r="49" spans="1:15" ht="38.25">
      <c r="A49" s="24"/>
      <c r="B49" s="77"/>
      <c r="C49" s="25">
        <v>3.2</v>
      </c>
      <c r="D49" s="26" t="s">
        <v>400</v>
      </c>
      <c r="E49" s="3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f t="shared" si="7"/>
        <v>0</v>
      </c>
      <c r="O49" s="40">
        <f t="shared" si="6"/>
        <v>0</v>
      </c>
    </row>
    <row r="50" spans="1:15" ht="25.5">
      <c r="A50" s="24"/>
      <c r="B50" s="77"/>
      <c r="C50" s="25">
        <v>3.3</v>
      </c>
      <c r="D50" s="26" t="s">
        <v>401</v>
      </c>
      <c r="E50" s="30"/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f t="shared" si="7"/>
        <v>0</v>
      </c>
      <c r="O50" s="40">
        <f t="shared" si="6"/>
        <v>0</v>
      </c>
    </row>
    <row r="51" spans="1:15" ht="25.5">
      <c r="A51" s="24"/>
      <c r="B51" s="77"/>
      <c r="C51" s="25">
        <v>3.4</v>
      </c>
      <c r="D51" s="26" t="s">
        <v>402</v>
      </c>
      <c r="E51" s="30"/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f t="shared" si="7"/>
        <v>0</v>
      </c>
      <c r="O51" s="40">
        <f t="shared" si="6"/>
        <v>0</v>
      </c>
    </row>
    <row r="52" spans="1:15" ht="25.5">
      <c r="A52" s="24"/>
      <c r="B52" s="77"/>
      <c r="C52" s="25">
        <v>3.5</v>
      </c>
      <c r="D52" s="26" t="s">
        <v>403</v>
      </c>
      <c r="E52" s="30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f t="shared" si="7"/>
        <v>0</v>
      </c>
      <c r="O52" s="40">
        <f t="shared" si="6"/>
        <v>0</v>
      </c>
    </row>
    <row r="53" spans="1:15" ht="12.75">
      <c r="A53" s="24"/>
      <c r="B53" s="77"/>
      <c r="C53" s="25">
        <v>3.6</v>
      </c>
      <c r="D53" s="26" t="s">
        <v>404</v>
      </c>
      <c r="E53" s="30"/>
      <c r="F53" s="40">
        <v>0</v>
      </c>
      <c r="G53" s="40">
        <v>0</v>
      </c>
      <c r="H53" s="40">
        <v>0</v>
      </c>
      <c r="I53" s="40">
        <v>0</v>
      </c>
      <c r="J53" s="40">
        <v>200000</v>
      </c>
      <c r="K53" s="40">
        <v>0</v>
      </c>
      <c r="L53" s="40">
        <v>0</v>
      </c>
      <c r="M53" s="40">
        <v>0</v>
      </c>
      <c r="N53" s="40">
        <f t="shared" si="7"/>
        <v>12000</v>
      </c>
      <c r="O53" s="40">
        <f t="shared" si="6"/>
        <v>212000</v>
      </c>
    </row>
    <row r="54" spans="1:15" ht="12.75">
      <c r="A54" s="24"/>
      <c r="B54" s="77"/>
      <c r="C54" s="25"/>
      <c r="D54" s="26"/>
      <c r="E54" s="3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.75">
      <c r="A55" s="24"/>
      <c r="B55" s="77">
        <v>4</v>
      </c>
      <c r="C55" s="25" t="s">
        <v>405</v>
      </c>
      <c r="D55" s="26"/>
      <c r="E55" s="30" t="s">
        <v>43</v>
      </c>
      <c r="F55" s="40">
        <v>0</v>
      </c>
      <c r="G55" s="40">
        <v>0</v>
      </c>
      <c r="H55" s="40">
        <v>95000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f>+N56+N57+N58+N59+N60+N61</f>
        <v>5700</v>
      </c>
      <c r="O55" s="40">
        <f aca="true" t="shared" si="8" ref="O55:O61">SUM(F55:N55)</f>
        <v>100700</v>
      </c>
    </row>
    <row r="56" spans="1:15" ht="25.5">
      <c r="A56" s="24"/>
      <c r="B56" s="77"/>
      <c r="C56" s="25">
        <v>4.1</v>
      </c>
      <c r="D56" s="26" t="s">
        <v>406</v>
      </c>
      <c r="E56" s="30"/>
      <c r="F56" s="40">
        <v>0</v>
      </c>
      <c r="G56" s="40">
        <v>0</v>
      </c>
      <c r="H56" s="40">
        <v>20000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f aca="true" t="shared" si="9" ref="N56:N61">SUM(F56:M56)*0.06</f>
        <v>1200</v>
      </c>
      <c r="O56" s="40">
        <f t="shared" si="8"/>
        <v>21200</v>
      </c>
    </row>
    <row r="57" spans="1:15" ht="25.5">
      <c r="A57" s="24"/>
      <c r="B57" s="77"/>
      <c r="C57" s="25">
        <v>4.2</v>
      </c>
      <c r="D57" s="26" t="s">
        <v>407</v>
      </c>
      <c r="E57" s="30"/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f t="shared" si="9"/>
        <v>0</v>
      </c>
      <c r="O57" s="40">
        <f t="shared" si="8"/>
        <v>0</v>
      </c>
    </row>
    <row r="58" spans="1:15" ht="25.5">
      <c r="A58" s="24"/>
      <c r="B58" s="77"/>
      <c r="C58" s="25">
        <v>4.3</v>
      </c>
      <c r="D58" s="26" t="s">
        <v>408</v>
      </c>
      <c r="E58" s="30"/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f t="shared" si="9"/>
        <v>0</v>
      </c>
      <c r="O58" s="40">
        <f t="shared" si="8"/>
        <v>0</v>
      </c>
    </row>
    <row r="59" spans="1:15" ht="38.25">
      <c r="A59" s="24"/>
      <c r="B59" s="77"/>
      <c r="C59" s="25">
        <v>4.4</v>
      </c>
      <c r="D59" s="26" t="s">
        <v>409</v>
      </c>
      <c r="E59" s="30"/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f t="shared" si="9"/>
        <v>0</v>
      </c>
      <c r="O59" s="40">
        <f t="shared" si="8"/>
        <v>0</v>
      </c>
    </row>
    <row r="60" spans="1:15" ht="12.75">
      <c r="A60" s="24"/>
      <c r="B60" s="77"/>
      <c r="C60" s="25">
        <v>4.5</v>
      </c>
      <c r="D60" s="26" t="s">
        <v>410</v>
      </c>
      <c r="E60" s="30"/>
      <c r="F60" s="40">
        <v>0</v>
      </c>
      <c r="G60" s="40">
        <v>0</v>
      </c>
      <c r="H60" s="40">
        <v>75000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f t="shared" si="9"/>
        <v>4500</v>
      </c>
      <c r="O60" s="40">
        <f t="shared" si="8"/>
        <v>79500</v>
      </c>
    </row>
    <row r="61" spans="1:15" ht="12.75">
      <c r="A61" s="24"/>
      <c r="B61" s="77"/>
      <c r="C61" s="25">
        <v>4.6</v>
      </c>
      <c r="D61" s="26" t="s">
        <v>411</v>
      </c>
      <c r="E61" s="30"/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f t="shared" si="9"/>
        <v>0</v>
      </c>
      <c r="O61" s="40">
        <f t="shared" si="8"/>
        <v>0</v>
      </c>
    </row>
    <row r="62" spans="1:15" ht="12.75">
      <c r="A62" s="24"/>
      <c r="B62" s="77"/>
      <c r="C62" s="25"/>
      <c r="D62" s="26"/>
      <c r="E62" s="3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.75">
      <c r="A63" s="24"/>
      <c r="B63" s="77">
        <v>5</v>
      </c>
      <c r="C63" s="25" t="s">
        <v>412</v>
      </c>
      <c r="D63" s="26"/>
      <c r="E63" s="30" t="s">
        <v>43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f>+N64</f>
        <v>0</v>
      </c>
      <c r="O63" s="40">
        <f>SUM(F63:N63)</f>
        <v>0</v>
      </c>
    </row>
    <row r="64" spans="1:15" ht="38.25">
      <c r="A64" s="24"/>
      <c r="B64" s="77"/>
      <c r="C64" s="25">
        <v>5.1</v>
      </c>
      <c r="D64" s="26" t="s">
        <v>413</v>
      </c>
      <c r="E64" s="30"/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f>SUM(F64:M64)*0.06</f>
        <v>0</v>
      </c>
      <c r="O64" s="40">
        <f>SUM(F64:N64)</f>
        <v>0</v>
      </c>
    </row>
    <row r="65" spans="1:15" ht="12.75">
      <c r="A65" s="24"/>
      <c r="B65" s="77"/>
      <c r="C65" s="25"/>
      <c r="D65" s="26"/>
      <c r="E65" s="3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12.75">
      <c r="A66" s="24"/>
      <c r="B66" s="77">
        <v>6</v>
      </c>
      <c r="C66" s="25" t="s">
        <v>414</v>
      </c>
      <c r="D66" s="26"/>
      <c r="E66" s="30" t="s">
        <v>43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f>+N67+N68+N69</f>
        <v>0</v>
      </c>
      <c r="O66" s="40">
        <f>SUM(F66:N66)</f>
        <v>0</v>
      </c>
    </row>
    <row r="67" spans="1:15" ht="38.25">
      <c r="A67" s="24"/>
      <c r="B67" s="77"/>
      <c r="C67" s="25">
        <v>6.1</v>
      </c>
      <c r="D67" s="26" t="s">
        <v>415</v>
      </c>
      <c r="E67" s="30"/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f>SUM(F67:M67)*0.06</f>
        <v>0</v>
      </c>
      <c r="O67" s="40">
        <f>SUM(F67:N67)</f>
        <v>0</v>
      </c>
    </row>
    <row r="68" spans="1:15" ht="63.75">
      <c r="A68" s="24"/>
      <c r="B68" s="77"/>
      <c r="C68" s="25">
        <v>6.2</v>
      </c>
      <c r="D68" s="26" t="s">
        <v>416</v>
      </c>
      <c r="E68" s="30"/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f>SUM(F68:M68)*0.06</f>
        <v>0</v>
      </c>
      <c r="O68" s="40">
        <f>SUM(F68:N68)</f>
        <v>0</v>
      </c>
    </row>
    <row r="69" spans="1:15" ht="51">
      <c r="A69" s="24"/>
      <c r="B69" s="77"/>
      <c r="C69" s="25">
        <v>6.3</v>
      </c>
      <c r="D69" s="26" t="s">
        <v>417</v>
      </c>
      <c r="E69" s="30"/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f>SUM(F69:M69)*0.06</f>
        <v>0</v>
      </c>
      <c r="O69" s="40">
        <f>SUM(F69:N69)</f>
        <v>0</v>
      </c>
    </row>
    <row r="70" spans="1:15" ht="12.75">
      <c r="A70" s="24"/>
      <c r="B70" s="77"/>
      <c r="C70" s="25"/>
      <c r="D70" s="26"/>
      <c r="E70" s="3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2.75">
      <c r="A71" s="24"/>
      <c r="B71" s="77">
        <v>7</v>
      </c>
      <c r="C71" s="25" t="s">
        <v>418</v>
      </c>
      <c r="D71" s="26"/>
      <c r="E71" s="30" t="s">
        <v>43</v>
      </c>
      <c r="F71" s="40">
        <v>1300000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f>+N72+N73+N74+N75+N76</f>
        <v>78000</v>
      </c>
      <c r="O71" s="40">
        <f aca="true" t="shared" si="10" ref="O71:O76">SUM(F71:N71)</f>
        <v>1378000</v>
      </c>
    </row>
    <row r="72" spans="1:15" ht="12.75">
      <c r="A72" s="24"/>
      <c r="B72" s="77"/>
      <c r="C72" s="25">
        <v>7.1</v>
      </c>
      <c r="D72" s="26" t="s">
        <v>419</v>
      </c>
      <c r="E72" s="30"/>
      <c r="F72" s="40">
        <v>267000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f>SUM(F72:M72)*0.06</f>
        <v>16020</v>
      </c>
      <c r="O72" s="40">
        <f t="shared" si="10"/>
        <v>283020</v>
      </c>
    </row>
    <row r="73" spans="1:15" ht="12.75">
      <c r="A73" s="24"/>
      <c r="B73" s="77"/>
      <c r="C73" s="25">
        <v>7.2</v>
      </c>
      <c r="D73" s="26" t="s">
        <v>420</v>
      </c>
      <c r="E73" s="30"/>
      <c r="F73" s="40">
        <v>267000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f>SUM(F73:M73)*0.06</f>
        <v>16020</v>
      </c>
      <c r="O73" s="40">
        <f t="shared" si="10"/>
        <v>283020</v>
      </c>
    </row>
    <row r="74" spans="1:15" ht="12.75">
      <c r="A74" s="24"/>
      <c r="B74" s="77"/>
      <c r="C74" s="25">
        <v>7.3</v>
      </c>
      <c r="D74" s="26" t="s">
        <v>421</v>
      </c>
      <c r="E74" s="30"/>
      <c r="F74" s="40">
        <v>267000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f>SUM(F74:M74)*0.06</f>
        <v>16020</v>
      </c>
      <c r="O74" s="40">
        <f t="shared" si="10"/>
        <v>283020</v>
      </c>
    </row>
    <row r="75" spans="1:15" ht="12.75">
      <c r="A75" s="24"/>
      <c r="B75" s="77"/>
      <c r="C75" s="25">
        <v>7.4</v>
      </c>
      <c r="D75" s="26" t="s">
        <v>422</v>
      </c>
      <c r="E75" s="30"/>
      <c r="F75" s="40">
        <v>193000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f>SUM(F75:M75)*0.06</f>
        <v>11580</v>
      </c>
      <c r="O75" s="40">
        <f t="shared" si="10"/>
        <v>204580</v>
      </c>
    </row>
    <row r="76" spans="1:15" ht="12.75">
      <c r="A76" s="24"/>
      <c r="B76" s="77"/>
      <c r="C76" s="25">
        <v>7.5</v>
      </c>
      <c r="D76" s="26" t="s">
        <v>423</v>
      </c>
      <c r="E76" s="30"/>
      <c r="F76" s="40">
        <v>306000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f>SUM(F76:M76)*0.06</f>
        <v>18360</v>
      </c>
      <c r="O76" s="40">
        <f t="shared" si="10"/>
        <v>324360</v>
      </c>
    </row>
    <row r="77" spans="1:15" ht="12.75">
      <c r="A77" s="24"/>
      <c r="B77" s="77"/>
      <c r="C77" s="25"/>
      <c r="D77" s="26"/>
      <c r="E77" s="3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6" s="2" customFormat="1" ht="12.75">
      <c r="A78" s="3" t="s">
        <v>48</v>
      </c>
      <c r="B78" s="106"/>
      <c r="C78" s="9"/>
      <c r="D78" s="23" t="s">
        <v>343</v>
      </c>
      <c r="E78" s="3"/>
      <c r="F78" s="33">
        <f>+F80+F90+F95+F99+F110+F117+F120+F124+F132+F135+F138</f>
        <v>499000</v>
      </c>
      <c r="G78" s="33">
        <f aca="true" t="shared" si="11" ref="G78:N78">+G80+G90+G95+G99+G110+G117+G120+G124+G132+G135+G138</f>
        <v>12000</v>
      </c>
      <c r="H78" s="33">
        <f t="shared" si="11"/>
        <v>986000</v>
      </c>
      <c r="I78" s="33">
        <f t="shared" si="11"/>
        <v>0</v>
      </c>
      <c r="J78" s="33">
        <f t="shared" si="11"/>
        <v>68100</v>
      </c>
      <c r="K78" s="33">
        <f t="shared" si="11"/>
        <v>0</v>
      </c>
      <c r="L78" s="33">
        <f t="shared" si="11"/>
        <v>0</v>
      </c>
      <c r="M78" s="33">
        <f t="shared" si="11"/>
        <v>61900000</v>
      </c>
      <c r="N78" s="33">
        <f t="shared" si="11"/>
        <v>1950906</v>
      </c>
      <c r="O78" s="33">
        <f>SUM(F78:N78)</f>
        <v>65416006</v>
      </c>
      <c r="P78" s="32"/>
    </row>
    <row r="79" spans="1:15" ht="12.75">
      <c r="A79" s="24"/>
      <c r="B79" s="77"/>
      <c r="C79" s="9"/>
      <c r="D79" s="26"/>
      <c r="E79" s="3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2.75">
      <c r="A80" s="24"/>
      <c r="B80" s="77">
        <v>1</v>
      </c>
      <c r="C80" s="25" t="s">
        <v>424</v>
      </c>
      <c r="D80" s="26"/>
      <c r="E80" s="30" t="s">
        <v>266</v>
      </c>
      <c r="F80" s="40">
        <v>0</v>
      </c>
      <c r="G80" s="40">
        <v>0</v>
      </c>
      <c r="H80" s="40">
        <v>820000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f>+N81+N82+N83+N84+N85+N86+N87+N88</f>
        <v>49200</v>
      </c>
      <c r="O80" s="40">
        <f aca="true" t="shared" si="12" ref="O80:O88">SUM(F80:N80)</f>
        <v>869200</v>
      </c>
    </row>
    <row r="81" spans="1:15" ht="25.5">
      <c r="A81" s="24"/>
      <c r="B81" s="77"/>
      <c r="C81" s="25">
        <v>1.1</v>
      </c>
      <c r="D81" s="26" t="s">
        <v>425</v>
      </c>
      <c r="E81" s="30"/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f aca="true" t="shared" si="13" ref="N81:N88">SUM(F81:M81)*0.06</f>
        <v>0</v>
      </c>
      <c r="O81" s="40">
        <f t="shared" si="12"/>
        <v>0</v>
      </c>
    </row>
    <row r="82" spans="1:15" ht="38.25">
      <c r="A82" s="24"/>
      <c r="B82" s="77"/>
      <c r="C82" s="25">
        <v>1.2</v>
      </c>
      <c r="D82" s="26" t="s">
        <v>426</v>
      </c>
      <c r="E82" s="30"/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f t="shared" si="13"/>
        <v>0</v>
      </c>
      <c r="O82" s="40">
        <f t="shared" si="12"/>
        <v>0</v>
      </c>
    </row>
    <row r="83" spans="1:15" ht="38.25">
      <c r="A83" s="24"/>
      <c r="B83" s="77"/>
      <c r="C83" s="25">
        <v>1.3</v>
      </c>
      <c r="D83" s="26" t="s">
        <v>427</v>
      </c>
      <c r="E83" s="30"/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f t="shared" si="13"/>
        <v>0</v>
      </c>
      <c r="O83" s="40">
        <f t="shared" si="12"/>
        <v>0</v>
      </c>
    </row>
    <row r="84" spans="1:15" ht="25.5">
      <c r="A84" s="24"/>
      <c r="B84" s="77"/>
      <c r="C84" s="25">
        <v>1.4</v>
      </c>
      <c r="D84" s="26" t="s">
        <v>428</v>
      </c>
      <c r="E84" s="30"/>
      <c r="F84" s="40">
        <v>0</v>
      </c>
      <c r="G84" s="40">
        <v>0</v>
      </c>
      <c r="H84" s="40">
        <v>220000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f t="shared" si="13"/>
        <v>13200</v>
      </c>
      <c r="O84" s="40">
        <f t="shared" si="12"/>
        <v>233200</v>
      </c>
    </row>
    <row r="85" spans="1:15" ht="25.5">
      <c r="A85" s="24"/>
      <c r="B85" s="77"/>
      <c r="C85" s="25">
        <v>1.5</v>
      </c>
      <c r="D85" s="26" t="s">
        <v>429</v>
      </c>
      <c r="E85" s="30"/>
      <c r="F85" s="40">
        <v>0</v>
      </c>
      <c r="G85" s="40">
        <v>0</v>
      </c>
      <c r="H85" s="40">
        <v>300000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f t="shared" si="13"/>
        <v>18000</v>
      </c>
      <c r="O85" s="40">
        <f t="shared" si="12"/>
        <v>318000</v>
      </c>
    </row>
    <row r="86" spans="1:15" ht="25.5">
      <c r="A86" s="24"/>
      <c r="B86" s="77"/>
      <c r="C86" s="25">
        <v>1.6</v>
      </c>
      <c r="D86" s="26" t="s">
        <v>430</v>
      </c>
      <c r="E86" s="30"/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f t="shared" si="13"/>
        <v>0</v>
      </c>
      <c r="O86" s="40">
        <f t="shared" si="12"/>
        <v>0</v>
      </c>
    </row>
    <row r="87" spans="1:15" ht="25.5">
      <c r="A87" s="24"/>
      <c r="B87" s="77"/>
      <c r="C87" s="25">
        <v>1.7</v>
      </c>
      <c r="D87" s="26" t="s">
        <v>431</v>
      </c>
      <c r="E87" s="30"/>
      <c r="F87" s="40">
        <v>0</v>
      </c>
      <c r="G87" s="40">
        <v>0</v>
      </c>
      <c r="H87" s="40">
        <v>200000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f t="shared" si="13"/>
        <v>12000</v>
      </c>
      <c r="O87" s="40">
        <f t="shared" si="12"/>
        <v>212000</v>
      </c>
    </row>
    <row r="88" spans="1:15" ht="38.25">
      <c r="A88" s="24"/>
      <c r="B88" s="77"/>
      <c r="C88" s="25">
        <v>1.8</v>
      </c>
      <c r="D88" s="26" t="s">
        <v>432</v>
      </c>
      <c r="E88" s="30"/>
      <c r="F88" s="40">
        <v>0</v>
      </c>
      <c r="G88" s="40">
        <v>0</v>
      </c>
      <c r="H88" s="40">
        <v>100000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f t="shared" si="13"/>
        <v>6000</v>
      </c>
      <c r="O88" s="40">
        <f t="shared" si="12"/>
        <v>106000</v>
      </c>
    </row>
    <row r="89" spans="1:15" ht="12.75">
      <c r="A89" s="24"/>
      <c r="B89" s="77"/>
      <c r="C89" s="25"/>
      <c r="D89" s="26"/>
      <c r="E89" s="3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12.75">
      <c r="A90" s="24"/>
      <c r="B90" s="77">
        <v>2</v>
      </c>
      <c r="C90" s="25" t="s">
        <v>433</v>
      </c>
      <c r="D90" s="26"/>
      <c r="E90" s="30" t="s">
        <v>266</v>
      </c>
      <c r="F90" s="40">
        <v>0</v>
      </c>
      <c r="G90" s="40">
        <v>12000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f>+N91+N92+N93</f>
        <v>720</v>
      </c>
      <c r="O90" s="40">
        <f>SUM(F90:N90)</f>
        <v>12720</v>
      </c>
    </row>
    <row r="91" spans="1:15" ht="76.5">
      <c r="A91" s="24"/>
      <c r="B91" s="77"/>
      <c r="C91" s="25">
        <v>2.1</v>
      </c>
      <c r="D91" s="26" t="s">
        <v>434</v>
      </c>
      <c r="E91" s="30"/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f aca="true" t="shared" si="14" ref="N91:N97">SUM(F91:M91)*0.06</f>
        <v>0</v>
      </c>
      <c r="O91" s="40">
        <f>SUM(F91:N91)</f>
        <v>0</v>
      </c>
    </row>
    <row r="92" spans="1:15" ht="12.75">
      <c r="A92" s="24"/>
      <c r="B92" s="77"/>
      <c r="C92" s="25">
        <v>2.2</v>
      </c>
      <c r="D92" s="26" t="s">
        <v>435</v>
      </c>
      <c r="E92" s="30"/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f t="shared" si="14"/>
        <v>0</v>
      </c>
      <c r="O92" s="40">
        <f>SUM(F92:N92)</f>
        <v>0</v>
      </c>
    </row>
    <row r="93" spans="1:15" ht="25.5">
      <c r="A93" s="24"/>
      <c r="B93" s="77"/>
      <c r="C93" s="25">
        <v>2.3</v>
      </c>
      <c r="D93" s="26" t="s">
        <v>436</v>
      </c>
      <c r="E93" s="30"/>
      <c r="F93" s="40">
        <v>0</v>
      </c>
      <c r="G93" s="40">
        <v>12000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f t="shared" si="14"/>
        <v>720</v>
      </c>
      <c r="O93" s="40">
        <f>SUM(F93:N93)</f>
        <v>12720</v>
      </c>
    </row>
    <row r="94" spans="1:15" ht="12.75">
      <c r="A94" s="24"/>
      <c r="B94" s="77"/>
      <c r="C94" s="25"/>
      <c r="D94" s="26"/>
      <c r="E94" s="30"/>
      <c r="F94" s="40"/>
      <c r="G94" s="40"/>
      <c r="H94" s="40"/>
      <c r="I94" s="40"/>
      <c r="J94" s="40"/>
      <c r="K94" s="40"/>
      <c r="L94" s="40"/>
      <c r="M94" s="40"/>
      <c r="N94" s="40">
        <f t="shared" si="14"/>
        <v>0</v>
      </c>
      <c r="O94" s="40"/>
    </row>
    <row r="95" spans="1:15" ht="12.75">
      <c r="A95" s="24"/>
      <c r="B95" s="77">
        <v>3</v>
      </c>
      <c r="C95" s="25" t="s">
        <v>437</v>
      </c>
      <c r="D95" s="26"/>
      <c r="E95" s="30" t="s">
        <v>266</v>
      </c>
      <c r="F95" s="40">
        <v>0</v>
      </c>
      <c r="G95" s="40">
        <v>0</v>
      </c>
      <c r="H95" s="40">
        <v>6000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f t="shared" si="14"/>
        <v>360</v>
      </c>
      <c r="O95" s="40">
        <f>SUM(F95:N95)</f>
        <v>6360</v>
      </c>
    </row>
    <row r="96" spans="1:15" ht="38.25">
      <c r="A96" s="24"/>
      <c r="B96" s="77"/>
      <c r="C96" s="25">
        <v>3.1</v>
      </c>
      <c r="D96" s="26" t="s">
        <v>438</v>
      </c>
      <c r="E96" s="30"/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f t="shared" si="14"/>
        <v>0</v>
      </c>
      <c r="O96" s="40">
        <f>SUM(F96:N96)</f>
        <v>0</v>
      </c>
    </row>
    <row r="97" spans="1:15" ht="38.25">
      <c r="A97" s="24"/>
      <c r="B97" s="77"/>
      <c r="C97" s="25">
        <v>3.2</v>
      </c>
      <c r="D97" s="26" t="s">
        <v>439</v>
      </c>
      <c r="E97" s="30"/>
      <c r="F97" s="40">
        <v>0</v>
      </c>
      <c r="G97" s="40">
        <v>0</v>
      </c>
      <c r="H97" s="40">
        <v>6000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f t="shared" si="14"/>
        <v>360</v>
      </c>
      <c r="O97" s="40">
        <f>SUM(F97:N97)</f>
        <v>6360</v>
      </c>
    </row>
    <row r="98" spans="1:15" ht="12.75">
      <c r="A98" s="24"/>
      <c r="B98" s="77"/>
      <c r="C98" s="25"/>
      <c r="D98" s="26"/>
      <c r="E98" s="3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12.75">
      <c r="A99" s="24"/>
      <c r="B99" s="77">
        <v>4</v>
      </c>
      <c r="C99" s="25" t="s">
        <v>440</v>
      </c>
      <c r="D99" s="26"/>
      <c r="E99" s="30" t="s">
        <v>266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f>+M100+M101+M102+M103+M104+M105+M106+M107+M108</f>
        <v>61900000</v>
      </c>
      <c r="N99" s="40">
        <f>+N100+N101+N102+N103+N104+N105+N106+N107+N108</f>
        <v>1857000</v>
      </c>
      <c r="O99" s="40">
        <f aca="true" t="shared" si="15" ref="O99:O108">SUM(F99:N99)</f>
        <v>63757000</v>
      </c>
    </row>
    <row r="100" spans="1:15" ht="25.5">
      <c r="A100" s="24"/>
      <c r="B100" s="77"/>
      <c r="C100" s="25">
        <v>4.1</v>
      </c>
      <c r="D100" s="26" t="s">
        <v>441</v>
      </c>
      <c r="E100" s="30"/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f>SUM(F100:M100)*0.06</f>
        <v>0</v>
      </c>
      <c r="O100" s="40">
        <f t="shared" si="15"/>
        <v>0</v>
      </c>
    </row>
    <row r="101" spans="1:15" ht="25.5">
      <c r="A101" s="24"/>
      <c r="B101" s="77"/>
      <c r="C101" s="25">
        <v>4.2</v>
      </c>
      <c r="D101" s="26" t="s">
        <v>442</v>
      </c>
      <c r="E101" s="30"/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f>SUM(F101:M101)*0.06</f>
        <v>0</v>
      </c>
      <c r="O101" s="40">
        <f t="shared" si="15"/>
        <v>0</v>
      </c>
    </row>
    <row r="102" spans="1:15" ht="12.75">
      <c r="A102" s="24"/>
      <c r="B102" s="77"/>
      <c r="C102" s="25">
        <v>4.3</v>
      </c>
      <c r="D102" s="26" t="s">
        <v>443</v>
      </c>
      <c r="E102" s="30"/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f>50000000-5000000</f>
        <v>45000000</v>
      </c>
      <c r="N102" s="40">
        <f aca="true" t="shared" si="16" ref="N102:N107">SUM(F102:M102)*0.03</f>
        <v>1350000</v>
      </c>
      <c r="O102" s="40">
        <f t="shared" si="15"/>
        <v>46350000</v>
      </c>
    </row>
    <row r="103" spans="1:15" ht="12.75">
      <c r="A103" s="24"/>
      <c r="B103" s="77"/>
      <c r="C103" s="25">
        <v>4.4</v>
      </c>
      <c r="D103" s="26" t="s">
        <v>444</v>
      </c>
      <c r="E103" s="30"/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f>10000000-9900000</f>
        <v>100000</v>
      </c>
      <c r="N103" s="40">
        <f t="shared" si="16"/>
        <v>3000</v>
      </c>
      <c r="O103" s="40">
        <f t="shared" si="15"/>
        <v>103000</v>
      </c>
    </row>
    <row r="104" spans="1:15" ht="38.25">
      <c r="A104" s="24"/>
      <c r="B104" s="77"/>
      <c r="C104" s="25">
        <v>4.5</v>
      </c>
      <c r="D104" s="26" t="s">
        <v>445</v>
      </c>
      <c r="E104" s="30"/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f>+M102*0.06</f>
        <v>2700000</v>
      </c>
      <c r="N104" s="40">
        <f t="shared" si="16"/>
        <v>81000</v>
      </c>
      <c r="O104" s="40">
        <f t="shared" si="15"/>
        <v>2781000</v>
      </c>
    </row>
    <row r="105" spans="1:15" ht="25.5">
      <c r="A105" s="24"/>
      <c r="B105" s="77"/>
      <c r="C105" s="25">
        <v>4.6</v>
      </c>
      <c r="D105" s="26" t="s">
        <v>446</v>
      </c>
      <c r="E105" s="30"/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600000</v>
      </c>
      <c r="N105" s="40">
        <f t="shared" si="16"/>
        <v>18000</v>
      </c>
      <c r="O105" s="40">
        <f t="shared" si="15"/>
        <v>618000</v>
      </c>
    </row>
    <row r="106" spans="1:15" ht="25.5">
      <c r="A106" s="24"/>
      <c r="B106" s="77"/>
      <c r="C106" s="25">
        <v>4.7</v>
      </c>
      <c r="D106" s="26" t="s">
        <v>447</v>
      </c>
      <c r="E106" s="30"/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f>+M102*0.3</f>
        <v>13500000</v>
      </c>
      <c r="N106" s="40">
        <f t="shared" si="16"/>
        <v>405000</v>
      </c>
      <c r="O106" s="40">
        <f t="shared" si="15"/>
        <v>13905000</v>
      </c>
    </row>
    <row r="107" spans="1:15" ht="25.5">
      <c r="A107" s="24"/>
      <c r="B107" s="77"/>
      <c r="C107" s="25">
        <v>4.8</v>
      </c>
      <c r="D107" s="26" t="s">
        <v>448</v>
      </c>
      <c r="E107" s="30"/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f>3000000-3000000</f>
        <v>0</v>
      </c>
      <c r="N107" s="40">
        <f t="shared" si="16"/>
        <v>0</v>
      </c>
      <c r="O107" s="40">
        <f t="shared" si="15"/>
        <v>0</v>
      </c>
    </row>
    <row r="108" spans="1:15" ht="51">
      <c r="A108" s="24"/>
      <c r="B108" s="77"/>
      <c r="C108" s="25">
        <v>4.9</v>
      </c>
      <c r="D108" s="26" t="s">
        <v>449</v>
      </c>
      <c r="E108" s="30"/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f>SUM(F108:M108)*0.06</f>
        <v>0</v>
      </c>
      <c r="O108" s="40">
        <f t="shared" si="15"/>
        <v>0</v>
      </c>
    </row>
    <row r="109" spans="1:15" ht="12.75">
      <c r="A109" s="24"/>
      <c r="B109" s="77"/>
      <c r="C109" s="25"/>
      <c r="D109" s="26"/>
      <c r="E109" s="3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ht="12.75">
      <c r="A110" s="24"/>
      <c r="B110" s="77">
        <v>5</v>
      </c>
      <c r="C110" s="25" t="s">
        <v>450</v>
      </c>
      <c r="D110" s="26"/>
      <c r="E110" s="30" t="s">
        <v>266</v>
      </c>
      <c r="F110" s="40">
        <v>0</v>
      </c>
      <c r="G110" s="40">
        <v>0</v>
      </c>
      <c r="H110" s="40">
        <v>25000</v>
      </c>
      <c r="I110" s="40">
        <v>0</v>
      </c>
      <c r="J110" s="40">
        <v>68100</v>
      </c>
      <c r="K110" s="40">
        <v>0</v>
      </c>
      <c r="L110" s="40">
        <v>0</v>
      </c>
      <c r="M110" s="40">
        <f>+M111+M112+M113+M114+M115</f>
        <v>0</v>
      </c>
      <c r="N110" s="40">
        <f>+N111+N112+N113+N114+N115</f>
        <v>5586</v>
      </c>
      <c r="O110" s="40">
        <f aca="true" t="shared" si="17" ref="O110:O115">SUM(F110:N110)</f>
        <v>98686</v>
      </c>
    </row>
    <row r="111" spans="1:15" ht="38.25">
      <c r="A111" s="24"/>
      <c r="B111" s="77"/>
      <c r="C111" s="25">
        <v>5.1</v>
      </c>
      <c r="D111" s="26" t="s">
        <v>451</v>
      </c>
      <c r="E111" s="30"/>
      <c r="F111" s="40">
        <v>0</v>
      </c>
      <c r="G111" s="40">
        <v>0</v>
      </c>
      <c r="H111" s="40">
        <v>0</v>
      </c>
      <c r="I111" s="40">
        <v>0</v>
      </c>
      <c r="J111" s="40">
        <v>8100</v>
      </c>
      <c r="K111" s="40">
        <v>0</v>
      </c>
      <c r="L111" s="40">
        <v>0</v>
      </c>
      <c r="M111" s="40">
        <v>0</v>
      </c>
      <c r="N111" s="40">
        <f>SUM(F111:M111)*0.06</f>
        <v>486</v>
      </c>
      <c r="O111" s="40">
        <f t="shared" si="17"/>
        <v>8586</v>
      </c>
    </row>
    <row r="112" spans="1:15" ht="25.5">
      <c r="A112" s="24"/>
      <c r="B112" s="77"/>
      <c r="C112" s="25">
        <v>5.2</v>
      </c>
      <c r="D112" s="26" t="s">
        <v>452</v>
      </c>
      <c r="E112" s="30"/>
      <c r="F112" s="40">
        <v>0</v>
      </c>
      <c r="G112" s="40">
        <v>0</v>
      </c>
      <c r="H112" s="40">
        <v>0</v>
      </c>
      <c r="I112" s="40">
        <v>0</v>
      </c>
      <c r="J112" s="40">
        <v>60000</v>
      </c>
      <c r="K112" s="40">
        <v>0</v>
      </c>
      <c r="L112" s="40">
        <v>0</v>
      </c>
      <c r="M112" s="40">
        <v>0</v>
      </c>
      <c r="N112" s="40">
        <f>SUM(F112:M112)*0.06</f>
        <v>3600</v>
      </c>
      <c r="O112" s="40">
        <f t="shared" si="17"/>
        <v>63600</v>
      </c>
    </row>
    <row r="113" spans="1:15" ht="25.5">
      <c r="A113" s="24"/>
      <c r="B113" s="77"/>
      <c r="C113" s="25">
        <v>5.3</v>
      </c>
      <c r="D113" s="26" t="s">
        <v>453</v>
      </c>
      <c r="E113" s="30"/>
      <c r="F113" s="40">
        <v>0</v>
      </c>
      <c r="G113" s="40">
        <v>0</v>
      </c>
      <c r="H113" s="40">
        <v>25000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f>SUM(F113:M113)*0.06</f>
        <v>1500</v>
      </c>
      <c r="O113" s="40">
        <f t="shared" si="17"/>
        <v>26500</v>
      </c>
    </row>
    <row r="114" spans="1:15" ht="25.5">
      <c r="A114" s="24"/>
      <c r="B114" s="77"/>
      <c r="C114" s="25">
        <v>5.4</v>
      </c>
      <c r="D114" s="26" t="s">
        <v>454</v>
      </c>
      <c r="E114" s="30"/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f>SUM(F114:M114)*0.06</f>
        <v>0</v>
      </c>
      <c r="O114" s="40">
        <f t="shared" si="17"/>
        <v>0</v>
      </c>
    </row>
    <row r="115" spans="1:15" ht="25.5">
      <c r="A115" s="24"/>
      <c r="B115" s="77"/>
      <c r="C115" s="25">
        <v>5.5</v>
      </c>
      <c r="D115" s="26" t="s">
        <v>455</v>
      </c>
      <c r="E115" s="30"/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f>SUM(F115:M115)*0.06</f>
        <v>0</v>
      </c>
      <c r="O115" s="40">
        <f t="shared" si="17"/>
        <v>0</v>
      </c>
    </row>
    <row r="116" spans="1:15" ht="12.75">
      <c r="A116" s="24"/>
      <c r="B116" s="77"/>
      <c r="C116" s="25"/>
      <c r="D116" s="26"/>
      <c r="E116" s="3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ht="12.75">
      <c r="A117" s="24"/>
      <c r="B117" s="77">
        <v>6</v>
      </c>
      <c r="C117" s="25" t="s">
        <v>456</v>
      </c>
      <c r="D117" s="26"/>
      <c r="E117" s="30" t="s">
        <v>266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f>+N118</f>
        <v>0</v>
      </c>
      <c r="O117" s="40">
        <f>SUM(F117:N117)</f>
        <v>0</v>
      </c>
    </row>
    <row r="118" spans="1:15" ht="38.25">
      <c r="A118" s="24"/>
      <c r="B118" s="77"/>
      <c r="C118" s="25">
        <v>6.1</v>
      </c>
      <c r="D118" s="26" t="s">
        <v>457</v>
      </c>
      <c r="E118" s="30"/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f>SUM(F118:M118)*0.06</f>
        <v>0</v>
      </c>
      <c r="O118" s="40">
        <f>SUM(F118:N118)</f>
        <v>0</v>
      </c>
    </row>
    <row r="119" spans="1:15" ht="12.75">
      <c r="A119" s="24"/>
      <c r="B119" s="77"/>
      <c r="C119" s="25"/>
      <c r="D119" s="26"/>
      <c r="E119" s="3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ht="12.75">
      <c r="A120" s="24"/>
      <c r="B120" s="77">
        <v>7</v>
      </c>
      <c r="C120" s="25" t="s">
        <v>458</v>
      </c>
      <c r="D120" s="26"/>
      <c r="E120" s="30" t="s">
        <v>266</v>
      </c>
      <c r="F120" s="40">
        <v>0</v>
      </c>
      <c r="G120" s="40">
        <v>0</v>
      </c>
      <c r="H120" s="40">
        <v>60000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f>+N121+N122</f>
        <v>3600</v>
      </c>
      <c r="O120" s="40">
        <f>SUM(F120:N120)</f>
        <v>63600</v>
      </c>
    </row>
    <row r="121" spans="1:15" ht="25.5">
      <c r="A121" s="24"/>
      <c r="B121" s="77"/>
      <c r="C121" s="25">
        <v>7.1</v>
      </c>
      <c r="D121" s="26" t="s">
        <v>459</v>
      </c>
      <c r="E121" s="30"/>
      <c r="F121" s="40">
        <v>0</v>
      </c>
      <c r="G121" s="40">
        <v>0</v>
      </c>
      <c r="H121" s="40">
        <v>30000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f>SUM(F121:M121)*0.06</f>
        <v>1800</v>
      </c>
      <c r="O121" s="40">
        <f>SUM(F121:N121)</f>
        <v>31800</v>
      </c>
    </row>
    <row r="122" spans="1:15" ht="63.75">
      <c r="A122" s="24"/>
      <c r="B122" s="77"/>
      <c r="C122" s="25">
        <v>7.2</v>
      </c>
      <c r="D122" s="26" t="s">
        <v>460</v>
      </c>
      <c r="E122" s="30"/>
      <c r="F122" s="40">
        <v>0</v>
      </c>
      <c r="G122" s="40">
        <v>0</v>
      </c>
      <c r="H122" s="40">
        <v>30000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f>SUM(F122:M122)*0.06</f>
        <v>1800</v>
      </c>
      <c r="O122" s="40">
        <f>SUM(F122:N122)</f>
        <v>31800</v>
      </c>
    </row>
    <row r="123" spans="1:15" ht="12.75">
      <c r="A123" s="24"/>
      <c r="B123" s="77"/>
      <c r="C123" s="25"/>
      <c r="D123" s="26"/>
      <c r="E123" s="3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ht="12.75">
      <c r="A124" s="24"/>
      <c r="B124" s="77">
        <v>8</v>
      </c>
      <c r="C124" s="25" t="s">
        <v>461</v>
      </c>
      <c r="D124" s="26"/>
      <c r="E124" s="30" t="s">
        <v>266</v>
      </c>
      <c r="F124" s="40">
        <f aca="true" t="shared" si="18" ref="F124:N124">F125++F126+F127+F128+F129+F130</f>
        <v>0</v>
      </c>
      <c r="G124" s="40">
        <f t="shared" si="18"/>
        <v>0</v>
      </c>
      <c r="H124" s="40">
        <f t="shared" si="18"/>
        <v>40000</v>
      </c>
      <c r="I124" s="40">
        <f t="shared" si="18"/>
        <v>0</v>
      </c>
      <c r="J124" s="40">
        <f t="shared" si="18"/>
        <v>0</v>
      </c>
      <c r="K124" s="40">
        <f t="shared" si="18"/>
        <v>0</v>
      </c>
      <c r="L124" s="40">
        <f t="shared" si="18"/>
        <v>0</v>
      </c>
      <c r="M124" s="40">
        <f t="shared" si="18"/>
        <v>0</v>
      </c>
      <c r="N124" s="40">
        <f t="shared" si="18"/>
        <v>2400</v>
      </c>
      <c r="O124" s="40">
        <f>SUM(F124:N124)</f>
        <v>42400</v>
      </c>
    </row>
    <row r="125" spans="1:15" ht="12.75">
      <c r="A125" s="24"/>
      <c r="B125" s="77"/>
      <c r="C125" s="25">
        <v>8.1</v>
      </c>
      <c r="D125" s="113" t="s">
        <v>462</v>
      </c>
      <c r="E125" s="30"/>
      <c r="F125" s="40"/>
      <c r="G125" s="40"/>
      <c r="H125" s="40">
        <v>30000</v>
      </c>
      <c r="I125" s="40"/>
      <c r="J125" s="40"/>
      <c r="K125" s="40"/>
      <c r="L125" s="40"/>
      <c r="M125" s="40"/>
      <c r="N125" s="40">
        <f>SUM(F125:M125)*0.06</f>
        <v>1800</v>
      </c>
      <c r="O125" s="40"/>
    </row>
    <row r="126" spans="1:15" ht="38.25">
      <c r="A126" s="24"/>
      <c r="B126" s="77"/>
      <c r="C126" s="25">
        <v>8.2</v>
      </c>
      <c r="D126" s="26" t="s">
        <v>463</v>
      </c>
      <c r="E126" s="30"/>
      <c r="F126" s="40">
        <v>0</v>
      </c>
      <c r="G126" s="40">
        <v>0</v>
      </c>
      <c r="H126" s="30">
        <v>10000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f>SUM(F126:M126)*0.06</f>
        <v>600</v>
      </c>
      <c r="O126" s="40">
        <f>SUM(F126:N126)</f>
        <v>10600</v>
      </c>
    </row>
    <row r="127" spans="1:15" ht="25.5">
      <c r="A127" s="24"/>
      <c r="B127" s="77"/>
      <c r="C127" s="25">
        <v>8.3</v>
      </c>
      <c r="D127" s="26" t="s">
        <v>464</v>
      </c>
      <c r="E127" s="30"/>
      <c r="F127" s="40">
        <v>0</v>
      </c>
      <c r="G127" s="40">
        <v>0</v>
      </c>
      <c r="H127" s="30"/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f>SUM(F127:M127)*0.06</f>
        <v>0</v>
      </c>
      <c r="O127" s="40">
        <f>SUM(F127:N127)</f>
        <v>0</v>
      </c>
    </row>
    <row r="128" spans="1:15" ht="12.75">
      <c r="A128" s="24"/>
      <c r="B128" s="77"/>
      <c r="C128" s="25">
        <v>8.4</v>
      </c>
      <c r="D128" s="26" t="s">
        <v>465</v>
      </c>
      <c r="E128" s="30"/>
      <c r="F128" s="40">
        <v>0</v>
      </c>
      <c r="G128" s="40">
        <v>0</v>
      </c>
      <c r="H128" s="30"/>
      <c r="I128" s="40">
        <v>0</v>
      </c>
      <c r="J128" s="40">
        <v>0</v>
      </c>
      <c r="K128" s="40">
        <v>0</v>
      </c>
      <c r="L128" s="40">
        <v>0</v>
      </c>
      <c r="M128" s="40">
        <f>3400000-3400000</f>
        <v>0</v>
      </c>
      <c r="N128" s="40">
        <f>SUM(F128:M128)*0.03</f>
        <v>0</v>
      </c>
      <c r="O128" s="40">
        <f>SUM(F128:N128)</f>
        <v>0</v>
      </c>
    </row>
    <row r="129" spans="2:15" s="24" customFormat="1" ht="38.25">
      <c r="B129" s="77"/>
      <c r="C129" s="25">
        <v>8.5</v>
      </c>
      <c r="D129" s="26" t="s">
        <v>466</v>
      </c>
      <c r="E129" s="30"/>
      <c r="F129" s="40">
        <v>0</v>
      </c>
      <c r="G129" s="40">
        <v>0</v>
      </c>
      <c r="H129" s="30"/>
      <c r="I129" s="40">
        <v>0</v>
      </c>
      <c r="J129" s="40">
        <v>0</v>
      </c>
      <c r="K129" s="40">
        <v>0</v>
      </c>
      <c r="L129" s="40">
        <v>0</v>
      </c>
      <c r="M129" s="40">
        <f>102000-102000</f>
        <v>0</v>
      </c>
      <c r="N129" s="40">
        <f>SUM(F129:M129)*0.03</f>
        <v>0</v>
      </c>
      <c r="O129" s="40">
        <f>SUM(F129:N129)</f>
        <v>0</v>
      </c>
    </row>
    <row r="130" spans="2:15" s="24" customFormat="1" ht="12.75">
      <c r="B130" s="77"/>
      <c r="C130" s="25">
        <v>8.6</v>
      </c>
      <c r="D130" s="26" t="s">
        <v>467</v>
      </c>
      <c r="E130" s="30"/>
      <c r="F130" s="40">
        <v>0</v>
      </c>
      <c r="G130" s="40">
        <v>0</v>
      </c>
      <c r="H130" s="30"/>
      <c r="I130" s="40">
        <v>0</v>
      </c>
      <c r="J130" s="40">
        <v>0</v>
      </c>
      <c r="K130" s="40">
        <v>0</v>
      </c>
      <c r="L130" s="40">
        <v>0</v>
      </c>
      <c r="M130" s="40">
        <f>425000-425000</f>
        <v>0</v>
      </c>
      <c r="N130" s="40">
        <f>SUM(F130:M130)*0.03</f>
        <v>0</v>
      </c>
      <c r="O130" s="40">
        <f>SUM(F130:N130)</f>
        <v>0</v>
      </c>
    </row>
    <row r="131" spans="1:15" ht="12.75">
      <c r="A131" s="24"/>
      <c r="B131" s="77"/>
      <c r="C131" s="25"/>
      <c r="D131" s="26"/>
      <c r="E131" s="30"/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1:15" ht="12.75">
      <c r="A132" s="24"/>
      <c r="B132" s="77">
        <v>9</v>
      </c>
      <c r="C132" s="25" t="s">
        <v>468</v>
      </c>
      <c r="D132" s="26"/>
      <c r="E132" s="30" t="s">
        <v>266</v>
      </c>
      <c r="F132" s="40">
        <v>0</v>
      </c>
      <c r="G132" s="40">
        <v>0</v>
      </c>
      <c r="H132" s="40">
        <v>35000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f>+N133</f>
        <v>2100</v>
      </c>
      <c r="O132" s="40">
        <f>SUM(F132:N132)</f>
        <v>37100</v>
      </c>
    </row>
    <row r="133" spans="1:15" ht="51">
      <c r="A133" s="24"/>
      <c r="B133" s="77"/>
      <c r="C133" s="25">
        <v>9.1</v>
      </c>
      <c r="D133" s="26" t="s">
        <v>469</v>
      </c>
      <c r="E133" s="30"/>
      <c r="F133" s="40">
        <v>0</v>
      </c>
      <c r="G133" s="40">
        <v>0</v>
      </c>
      <c r="H133" s="40">
        <v>35000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f>SUM(F133:M133)*0.06</f>
        <v>2100</v>
      </c>
      <c r="O133" s="40">
        <f>SUM(F133:N133)</f>
        <v>37100</v>
      </c>
    </row>
    <row r="134" spans="1:15" ht="12.75">
      <c r="A134" s="24"/>
      <c r="B134" s="77"/>
      <c r="C134" s="25"/>
      <c r="D134" s="26"/>
      <c r="E134" s="30"/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1:15" ht="12.75">
      <c r="A135" s="24"/>
      <c r="B135" s="77">
        <v>10</v>
      </c>
      <c r="C135" s="25" t="s">
        <v>470</v>
      </c>
      <c r="D135" s="26"/>
      <c r="E135" s="30" t="s">
        <v>266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f>+N136</f>
        <v>0</v>
      </c>
      <c r="O135" s="40">
        <f>SUM(F135:N135)</f>
        <v>0</v>
      </c>
    </row>
    <row r="136" spans="1:15" ht="25.5">
      <c r="A136" s="24"/>
      <c r="B136" s="77"/>
      <c r="C136" s="25">
        <v>10.1</v>
      </c>
      <c r="D136" s="26" t="s">
        <v>471</v>
      </c>
      <c r="E136" s="30"/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f>SUM(F136:M136)*0.06</f>
        <v>0</v>
      </c>
      <c r="O136" s="40">
        <f>SUM(F136:N136)</f>
        <v>0</v>
      </c>
    </row>
    <row r="137" spans="1:15" ht="12.75">
      <c r="A137" s="24"/>
      <c r="B137" s="77"/>
      <c r="C137" s="25"/>
      <c r="D137" s="26"/>
      <c r="E137" s="3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ht="12.75">
      <c r="A138" s="24"/>
      <c r="B138" s="77">
        <v>11</v>
      </c>
      <c r="C138" s="25" t="s">
        <v>472</v>
      </c>
      <c r="D138" s="26"/>
      <c r="E138" s="30" t="s">
        <v>266</v>
      </c>
      <c r="F138" s="40">
        <v>499000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f>+N139+N140+N141+N142</f>
        <v>29940</v>
      </c>
      <c r="O138" s="40">
        <f>SUM(F138:N138)</f>
        <v>528940</v>
      </c>
    </row>
    <row r="139" spans="1:15" ht="12.75">
      <c r="A139" s="24"/>
      <c r="B139" s="77"/>
      <c r="C139" s="25">
        <v>11.1</v>
      </c>
      <c r="D139" s="26" t="s">
        <v>473</v>
      </c>
      <c r="E139" s="30"/>
      <c r="F139" s="40">
        <v>193000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f>SUM(F139:M139)*0.06</f>
        <v>11580</v>
      </c>
      <c r="O139" s="40">
        <f>SUM(F139:N139)</f>
        <v>204580</v>
      </c>
    </row>
    <row r="140" spans="1:15" ht="12.75">
      <c r="A140" s="24"/>
      <c r="B140" s="77"/>
      <c r="C140" s="25">
        <v>11.2</v>
      </c>
      <c r="D140" s="26" t="s">
        <v>474</v>
      </c>
      <c r="E140" s="30"/>
      <c r="F140" s="40">
        <v>306000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f>SUM(F140:M140)*0.06</f>
        <v>18360</v>
      </c>
      <c r="O140" s="40">
        <f>SUM(F140:N140)</f>
        <v>324360</v>
      </c>
    </row>
    <row r="141" spans="1:15" ht="12.75">
      <c r="A141" s="24"/>
      <c r="B141" s="77"/>
      <c r="C141" s="25">
        <v>11.3</v>
      </c>
      <c r="D141" s="26" t="s">
        <v>475</v>
      </c>
      <c r="E141" s="30"/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f>SUM(F141:M141)*0.06</f>
        <v>0</v>
      </c>
      <c r="O141" s="40">
        <f>SUM(F141:N141)</f>
        <v>0</v>
      </c>
    </row>
    <row r="142" spans="1:15" ht="12.75">
      <c r="A142" s="24"/>
      <c r="B142" s="77"/>
      <c r="C142" s="25"/>
      <c r="D142" s="26"/>
      <c r="E142" s="30"/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f>SUM(F142:M142)*0.06</f>
        <v>0</v>
      </c>
      <c r="O142" s="40">
        <f>SUM(F142:N142)</f>
        <v>0</v>
      </c>
    </row>
    <row r="143" spans="1:15" ht="12.75">
      <c r="A143" s="24"/>
      <c r="B143" s="77"/>
      <c r="C143" s="25"/>
      <c r="D143" s="26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7" s="2" customFormat="1" ht="12.75">
      <c r="A144" s="3" t="s">
        <v>665</v>
      </c>
      <c r="B144" s="106"/>
      <c r="C144" s="9"/>
      <c r="D144" s="3" t="s">
        <v>343</v>
      </c>
      <c r="E144" s="3"/>
      <c r="F144" s="33">
        <f>+F146+F156+F164+F167+F177+F222+F226+F232+F240+F251</f>
        <v>1200000</v>
      </c>
      <c r="G144" s="33">
        <f aca="true" t="shared" si="19" ref="G144:N144">+G146+G156+G164+G167+G177+G222+G226+G232+G240+G251</f>
        <v>80000</v>
      </c>
      <c r="H144" s="33">
        <f t="shared" si="19"/>
        <v>1478000</v>
      </c>
      <c r="I144" s="33">
        <f t="shared" si="19"/>
        <v>0</v>
      </c>
      <c r="J144" s="33">
        <f t="shared" si="19"/>
        <v>63000</v>
      </c>
      <c r="K144" s="33">
        <f t="shared" si="19"/>
        <v>102000</v>
      </c>
      <c r="L144" s="33">
        <f t="shared" si="19"/>
        <v>0</v>
      </c>
      <c r="M144" s="33">
        <f t="shared" si="19"/>
        <v>0</v>
      </c>
      <c r="N144" s="33">
        <f t="shared" si="19"/>
        <v>175380</v>
      </c>
      <c r="O144" s="33">
        <f>SUM(F144:N144)</f>
        <v>3098380</v>
      </c>
      <c r="P144" s="32"/>
      <c r="Q144" s="103"/>
    </row>
    <row r="145" spans="1:15" ht="12.75">
      <c r="A145" s="3"/>
      <c r="B145" s="77"/>
      <c r="C145" s="25"/>
      <c r="D145" s="26"/>
      <c r="E145" s="3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6" ht="51">
      <c r="A146" s="24"/>
      <c r="B146" s="77">
        <v>1</v>
      </c>
      <c r="C146" s="26" t="s">
        <v>476</v>
      </c>
      <c r="D146" s="26"/>
      <c r="E146" s="30" t="s">
        <v>266</v>
      </c>
      <c r="F146" s="40">
        <f>+F147+F148+F149+F150+F151+F152+F153+F154</f>
        <v>0</v>
      </c>
      <c r="G146" s="40">
        <f aca="true" t="shared" si="20" ref="G146:N146">+G147+G148+G149+G150+G151+G152+G153+G154</f>
        <v>0</v>
      </c>
      <c r="H146" s="40">
        <f t="shared" si="20"/>
        <v>155000</v>
      </c>
      <c r="I146" s="40">
        <f t="shared" si="20"/>
        <v>0</v>
      </c>
      <c r="J146" s="40">
        <f t="shared" si="20"/>
        <v>0</v>
      </c>
      <c r="K146" s="40">
        <f t="shared" si="20"/>
        <v>0</v>
      </c>
      <c r="L146" s="40">
        <f t="shared" si="20"/>
        <v>0</v>
      </c>
      <c r="M146" s="40">
        <f t="shared" si="20"/>
        <v>0</v>
      </c>
      <c r="N146" s="40">
        <f t="shared" si="20"/>
        <v>9300</v>
      </c>
      <c r="O146" s="40">
        <f>SUM(F146:N146)</f>
        <v>164300</v>
      </c>
      <c r="P146" s="32"/>
    </row>
    <row r="147" spans="1:15" ht="38.25">
      <c r="A147" s="24"/>
      <c r="B147" s="77"/>
      <c r="C147" s="25">
        <v>1.1</v>
      </c>
      <c r="D147" s="26" t="s">
        <v>477</v>
      </c>
      <c r="E147" s="30"/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f>SUM(F147:M147)*0.06</f>
        <v>0</v>
      </c>
      <c r="O147" s="40">
        <f aca="true" t="shared" si="21" ref="O147:O154">SUM(F147:N147)</f>
        <v>0</v>
      </c>
    </row>
    <row r="148" spans="1:15" ht="38.25">
      <c r="A148" s="24"/>
      <c r="B148" s="77"/>
      <c r="C148" s="25">
        <v>1.2</v>
      </c>
      <c r="D148" s="26" t="s">
        <v>478</v>
      </c>
      <c r="E148" s="30"/>
      <c r="F148" s="40">
        <v>0</v>
      </c>
      <c r="G148" s="40">
        <v>0</v>
      </c>
      <c r="H148" s="40">
        <v>15000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f aca="true" t="shared" si="22" ref="N148:N154">SUM(F148:M148)*0.06</f>
        <v>900</v>
      </c>
      <c r="O148" s="40">
        <f t="shared" si="21"/>
        <v>15900</v>
      </c>
    </row>
    <row r="149" spans="1:15" ht="38.25">
      <c r="A149" s="24"/>
      <c r="B149" s="77"/>
      <c r="C149" s="25">
        <v>1.3</v>
      </c>
      <c r="D149" s="26" t="s">
        <v>479</v>
      </c>
      <c r="E149" s="30"/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f t="shared" si="22"/>
        <v>0</v>
      </c>
      <c r="O149" s="40">
        <f t="shared" si="21"/>
        <v>0</v>
      </c>
    </row>
    <row r="150" spans="1:15" ht="38.25">
      <c r="A150" s="24"/>
      <c r="B150" s="77"/>
      <c r="C150" s="25">
        <v>1.4</v>
      </c>
      <c r="D150" s="26" t="s">
        <v>480</v>
      </c>
      <c r="E150" s="30"/>
      <c r="F150" s="40">
        <v>0</v>
      </c>
      <c r="G150" s="40">
        <v>0</v>
      </c>
      <c r="H150" s="40">
        <v>15000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f t="shared" si="22"/>
        <v>900</v>
      </c>
      <c r="O150" s="40">
        <f t="shared" si="21"/>
        <v>15900</v>
      </c>
    </row>
    <row r="151" spans="1:15" ht="76.5">
      <c r="A151" s="24"/>
      <c r="B151" s="77"/>
      <c r="C151" s="25">
        <v>1.5</v>
      </c>
      <c r="D151" s="26" t="s">
        <v>481</v>
      </c>
      <c r="E151" s="30"/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f t="shared" si="22"/>
        <v>0</v>
      </c>
      <c r="O151" s="40">
        <f t="shared" si="21"/>
        <v>0</v>
      </c>
    </row>
    <row r="152" spans="1:15" ht="12.75">
      <c r="A152" s="24"/>
      <c r="B152" s="77"/>
      <c r="C152" s="25">
        <v>1.6</v>
      </c>
      <c r="D152" s="26" t="s">
        <v>482</v>
      </c>
      <c r="E152" s="30"/>
      <c r="F152" s="40">
        <v>0</v>
      </c>
      <c r="G152" s="40">
        <v>0</v>
      </c>
      <c r="H152" s="40">
        <v>25000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f t="shared" si="22"/>
        <v>1500</v>
      </c>
      <c r="O152" s="40">
        <f t="shared" si="21"/>
        <v>26500</v>
      </c>
    </row>
    <row r="153" spans="1:15" ht="12.75">
      <c r="A153" s="24"/>
      <c r="B153" s="77"/>
      <c r="C153" s="25">
        <v>1.7</v>
      </c>
      <c r="D153" s="26" t="s">
        <v>483</v>
      </c>
      <c r="E153" s="30"/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f t="shared" si="22"/>
        <v>0</v>
      </c>
      <c r="O153" s="40">
        <f t="shared" si="21"/>
        <v>0</v>
      </c>
    </row>
    <row r="154" spans="1:15" ht="12.75">
      <c r="A154" s="24"/>
      <c r="B154" s="77"/>
      <c r="C154" s="25">
        <v>1.8</v>
      </c>
      <c r="D154" s="26" t="s">
        <v>484</v>
      </c>
      <c r="E154" s="30"/>
      <c r="F154" s="40">
        <v>0</v>
      </c>
      <c r="G154" s="40">
        <v>0</v>
      </c>
      <c r="H154" s="40">
        <v>100000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f t="shared" si="22"/>
        <v>6000</v>
      </c>
      <c r="O154" s="40">
        <f t="shared" si="21"/>
        <v>106000</v>
      </c>
    </row>
    <row r="155" spans="1:15" ht="12.75">
      <c r="A155" s="24"/>
      <c r="B155" s="77"/>
      <c r="C155" s="25"/>
      <c r="D155" s="26"/>
      <c r="E155" s="30"/>
      <c r="F155" s="40"/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1:16" ht="12.75">
      <c r="A156" s="24"/>
      <c r="B156" s="77">
        <v>2</v>
      </c>
      <c r="C156" s="25" t="s">
        <v>485</v>
      </c>
      <c r="D156" s="26"/>
      <c r="E156" s="30" t="s">
        <v>266</v>
      </c>
      <c r="F156" s="40">
        <f>+F157+F158+F159+F160+F161+F162</f>
        <v>306000</v>
      </c>
      <c r="G156" s="40">
        <f aca="true" t="shared" si="23" ref="G156:M156">+G157+G158+G159+G160+G161+G162</f>
        <v>0</v>
      </c>
      <c r="H156" s="40">
        <f t="shared" si="23"/>
        <v>1000000</v>
      </c>
      <c r="I156" s="40">
        <f t="shared" si="23"/>
        <v>0</v>
      </c>
      <c r="J156" s="40">
        <f t="shared" si="23"/>
        <v>0</v>
      </c>
      <c r="K156" s="40">
        <f t="shared" si="23"/>
        <v>0</v>
      </c>
      <c r="L156" s="40">
        <f t="shared" si="23"/>
        <v>0</v>
      </c>
      <c r="M156" s="40">
        <f t="shared" si="23"/>
        <v>0</v>
      </c>
      <c r="N156" s="40">
        <f>+N157+N158+N159+N160+N161+N162</f>
        <v>78360</v>
      </c>
      <c r="O156" s="40">
        <f>SUM(F156:N156)</f>
        <v>1384360</v>
      </c>
      <c r="P156" s="32"/>
    </row>
    <row r="157" spans="1:15" ht="25.5">
      <c r="A157" s="24"/>
      <c r="B157" s="77"/>
      <c r="C157" s="25">
        <v>2.1</v>
      </c>
      <c r="D157" s="26" t="s">
        <v>486</v>
      </c>
      <c r="E157" s="30"/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f aca="true" t="shared" si="24" ref="N157:N162">SUM(F157:M157)*0.06</f>
        <v>0</v>
      </c>
      <c r="O157" s="40">
        <f aca="true" t="shared" si="25" ref="O157:O162">SUM(F157:N157)</f>
        <v>0</v>
      </c>
    </row>
    <row r="158" spans="1:15" ht="25.5">
      <c r="A158" s="24"/>
      <c r="B158" s="77"/>
      <c r="C158" s="25">
        <v>2.2</v>
      </c>
      <c r="D158" s="26" t="s">
        <v>487</v>
      </c>
      <c r="E158" s="30"/>
      <c r="F158" s="40">
        <v>0</v>
      </c>
      <c r="G158" s="40">
        <v>0</v>
      </c>
      <c r="H158" s="40">
        <v>1000000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f t="shared" si="24"/>
        <v>60000</v>
      </c>
      <c r="O158" s="40">
        <f t="shared" si="25"/>
        <v>1060000</v>
      </c>
    </row>
    <row r="159" spans="1:15" ht="25.5">
      <c r="A159" s="24"/>
      <c r="B159" s="77"/>
      <c r="C159" s="25">
        <v>2.3</v>
      </c>
      <c r="D159" s="26" t="s">
        <v>488</v>
      </c>
      <c r="E159" s="30"/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f t="shared" si="24"/>
        <v>0</v>
      </c>
      <c r="O159" s="40">
        <f t="shared" si="25"/>
        <v>0</v>
      </c>
    </row>
    <row r="160" spans="1:15" ht="12.75">
      <c r="A160" s="24"/>
      <c r="B160" s="77"/>
      <c r="C160" s="25">
        <v>2.4</v>
      </c>
      <c r="D160" s="26" t="s">
        <v>489</v>
      </c>
      <c r="E160" s="30"/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f t="shared" si="24"/>
        <v>0</v>
      </c>
      <c r="O160" s="40">
        <f t="shared" si="25"/>
        <v>0</v>
      </c>
    </row>
    <row r="161" spans="1:15" ht="12.75">
      <c r="A161" s="24"/>
      <c r="B161" s="77"/>
      <c r="C161" s="25">
        <v>2.5</v>
      </c>
      <c r="D161" s="26" t="s">
        <v>490</v>
      </c>
      <c r="E161" s="30"/>
      <c r="F161" s="40">
        <v>306000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f t="shared" si="24"/>
        <v>18360</v>
      </c>
      <c r="O161" s="40">
        <f t="shared" si="25"/>
        <v>324360</v>
      </c>
    </row>
    <row r="162" spans="1:15" ht="12.75">
      <c r="A162" s="24"/>
      <c r="B162" s="77"/>
      <c r="C162" s="25">
        <v>2.6</v>
      </c>
      <c r="D162" s="26" t="s">
        <v>491</v>
      </c>
      <c r="E162" s="30"/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f t="shared" si="24"/>
        <v>0</v>
      </c>
      <c r="O162" s="40">
        <f t="shared" si="25"/>
        <v>0</v>
      </c>
    </row>
    <row r="163" spans="1:15" ht="12.75">
      <c r="A163" s="24"/>
      <c r="B163" s="77"/>
      <c r="C163" s="25"/>
      <c r="D163" s="26"/>
      <c r="E163" s="30"/>
      <c r="F163" s="40"/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1:15" ht="12.75">
      <c r="A164" s="24"/>
      <c r="B164" s="77">
        <v>3</v>
      </c>
      <c r="C164" s="25" t="s">
        <v>492</v>
      </c>
      <c r="D164" s="26"/>
      <c r="E164" s="30" t="s">
        <v>266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</row>
    <row r="165" spans="1:15" ht="38.25">
      <c r="A165" s="24"/>
      <c r="B165" s="77"/>
      <c r="C165" s="25">
        <v>3.1</v>
      </c>
      <c r="D165" s="26" t="s">
        <v>493</v>
      </c>
      <c r="E165" s="30"/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</row>
    <row r="166" spans="1:15" ht="12.75">
      <c r="A166" s="24"/>
      <c r="B166" s="77"/>
      <c r="C166" s="25"/>
      <c r="D166" s="26"/>
      <c r="E166" s="30"/>
      <c r="F166" s="40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1:16" ht="12.75">
      <c r="A167" s="24"/>
      <c r="B167" s="77">
        <v>4</v>
      </c>
      <c r="C167" s="25" t="s">
        <v>494</v>
      </c>
      <c r="D167" s="26"/>
      <c r="E167" s="30" t="s">
        <v>266</v>
      </c>
      <c r="F167" s="40">
        <f>+F168+F169+F170+F171+F172+F173+F174+F175</f>
        <v>0</v>
      </c>
      <c r="G167" s="40">
        <f aca="true" t="shared" si="26" ref="G167:M167">+G168+G169+G170+G171+G172+G173+G174+G175</f>
        <v>80000</v>
      </c>
      <c r="H167" s="40">
        <f t="shared" si="26"/>
        <v>20000</v>
      </c>
      <c r="I167" s="40">
        <f t="shared" si="26"/>
        <v>0</v>
      </c>
      <c r="J167" s="40">
        <f t="shared" si="26"/>
        <v>0</v>
      </c>
      <c r="K167" s="40">
        <f t="shared" si="26"/>
        <v>0</v>
      </c>
      <c r="L167" s="40">
        <f t="shared" si="26"/>
        <v>0</v>
      </c>
      <c r="M167" s="40">
        <f t="shared" si="26"/>
        <v>0</v>
      </c>
      <c r="N167" s="40">
        <f>+N168+N169+N170+N171+N172+N173+N174+N175</f>
        <v>6000</v>
      </c>
      <c r="O167" s="40">
        <f>SUM(F167:N167)</f>
        <v>106000</v>
      </c>
      <c r="P167" s="32"/>
    </row>
    <row r="168" spans="1:15" ht="51">
      <c r="A168" s="24"/>
      <c r="B168" s="77"/>
      <c r="C168" s="25">
        <v>4.1</v>
      </c>
      <c r="D168" s="26" t="s">
        <v>495</v>
      </c>
      <c r="E168" s="30"/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f>SUM(F168:M168)*0.06</f>
        <v>0</v>
      </c>
      <c r="O168" s="40">
        <f aca="true" t="shared" si="27" ref="O168:O175">SUM(F168:N168)</f>
        <v>0</v>
      </c>
    </row>
    <row r="169" spans="1:15" ht="25.5">
      <c r="A169" s="24"/>
      <c r="B169" s="77"/>
      <c r="C169" s="25">
        <v>4.2</v>
      </c>
      <c r="D169" s="26" t="s">
        <v>496</v>
      </c>
      <c r="E169" s="30"/>
      <c r="F169" s="40">
        <v>0</v>
      </c>
      <c r="G169" s="40">
        <v>40000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f aca="true" t="shared" si="28" ref="N169:N175">SUM(F169:M169)*0.06</f>
        <v>2400</v>
      </c>
      <c r="O169" s="40">
        <f t="shared" si="27"/>
        <v>42400</v>
      </c>
    </row>
    <row r="170" spans="1:15" ht="12.75">
      <c r="A170" s="24"/>
      <c r="B170" s="77"/>
      <c r="C170" s="25">
        <v>4.3</v>
      </c>
      <c r="D170" s="26" t="s">
        <v>497</v>
      </c>
      <c r="E170" s="30"/>
      <c r="F170" s="40">
        <v>0</v>
      </c>
      <c r="G170" s="40">
        <v>0</v>
      </c>
      <c r="H170" s="40">
        <v>20000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f t="shared" si="28"/>
        <v>1200</v>
      </c>
      <c r="O170" s="40">
        <f t="shared" si="27"/>
        <v>21200</v>
      </c>
    </row>
    <row r="171" spans="1:15" ht="12.75">
      <c r="A171" s="24"/>
      <c r="B171" s="77"/>
      <c r="C171" s="25">
        <v>4.4</v>
      </c>
      <c r="D171" s="26" t="s">
        <v>498</v>
      </c>
      <c r="E171" s="30"/>
      <c r="F171" s="40">
        <v>0</v>
      </c>
      <c r="G171" s="40">
        <v>40000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f t="shared" si="28"/>
        <v>2400</v>
      </c>
      <c r="O171" s="40">
        <f t="shared" si="27"/>
        <v>42400</v>
      </c>
    </row>
    <row r="172" spans="1:15" ht="25.5">
      <c r="A172" s="24"/>
      <c r="B172" s="77"/>
      <c r="C172" s="25">
        <v>4.5</v>
      </c>
      <c r="D172" s="26" t="s">
        <v>499</v>
      </c>
      <c r="E172" s="30"/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f t="shared" si="28"/>
        <v>0</v>
      </c>
      <c r="O172" s="40">
        <f t="shared" si="27"/>
        <v>0</v>
      </c>
    </row>
    <row r="173" spans="1:15" ht="12.75">
      <c r="A173" s="24"/>
      <c r="B173" s="77"/>
      <c r="C173" s="25">
        <v>4.6</v>
      </c>
      <c r="D173" s="26" t="s">
        <v>500</v>
      </c>
      <c r="E173" s="30"/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f t="shared" si="28"/>
        <v>0</v>
      </c>
      <c r="O173" s="40">
        <f t="shared" si="27"/>
        <v>0</v>
      </c>
    </row>
    <row r="174" spans="1:15" ht="38.25">
      <c r="A174" s="24"/>
      <c r="B174" s="77"/>
      <c r="C174" s="25">
        <v>4.7</v>
      </c>
      <c r="D174" s="26" t="s">
        <v>501</v>
      </c>
      <c r="E174" s="30"/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f t="shared" si="28"/>
        <v>0</v>
      </c>
      <c r="O174" s="40">
        <f t="shared" si="27"/>
        <v>0</v>
      </c>
    </row>
    <row r="175" spans="1:15" ht="51">
      <c r="A175" s="24"/>
      <c r="B175" s="77"/>
      <c r="C175" s="25">
        <v>4.8</v>
      </c>
      <c r="D175" s="26" t="s">
        <v>502</v>
      </c>
      <c r="E175" s="30"/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f t="shared" si="28"/>
        <v>0</v>
      </c>
      <c r="O175" s="40">
        <f t="shared" si="27"/>
        <v>0</v>
      </c>
    </row>
    <row r="176" spans="2:15" s="107" customFormat="1" ht="12.75">
      <c r="B176" s="108"/>
      <c r="C176" s="109"/>
      <c r="D176" s="110"/>
      <c r="E176" s="111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1:16" ht="12.75">
      <c r="A177" s="24"/>
      <c r="B177" s="77">
        <v>5</v>
      </c>
      <c r="C177" s="25" t="s">
        <v>503</v>
      </c>
      <c r="D177" s="26"/>
      <c r="E177" s="30" t="s">
        <v>266</v>
      </c>
      <c r="F177" s="40">
        <f>+F178+F179+F180+F181+F182+F183+F184+F185+F186+F187+F188+F189+F190+F191+F192+F193+F194+F195+F196+F197+F198+F199+F200+F201+F202+F203+F204+F205+F206+F207+F208+F209+F210+F211+F212+F213+F214+F215+F216+F217+F218+F219+F220</f>
        <v>0</v>
      </c>
      <c r="G177" s="40">
        <f>+G178+G179+G180+G181+G182+G183+G184+G185+G186+G187+G188+G189+G190+G191+G192+G193+G194+G195+G196+G197+G198+G199+G200+G201+G202+G203+G204+G205+G206+G207+G208+G209+G210+G211+G212+G213+G214+G215+G216+G217+G218+G219+G220</f>
        <v>0</v>
      </c>
      <c r="H177" s="40">
        <f aca="true" t="shared" si="29" ref="H177:N177">+H178+H179+H180+H181+H182+H183+H184+H185+H186+H187+H188+H189+H190+H191+H192+H193+H194+H195+H196+H197+H198+H199+H200+H201+H202+H203+H204+H205+H206+H207+H208+H209+H210+H211+H212+H213+H214+H215+H216+H217+H218+H219+H220</f>
        <v>239000</v>
      </c>
      <c r="I177" s="40">
        <f t="shared" si="29"/>
        <v>0</v>
      </c>
      <c r="J177" s="40">
        <f t="shared" si="29"/>
        <v>0</v>
      </c>
      <c r="K177" s="40">
        <f t="shared" si="29"/>
        <v>67000</v>
      </c>
      <c r="L177" s="40">
        <f t="shared" si="29"/>
        <v>0</v>
      </c>
      <c r="M177" s="40">
        <f t="shared" si="29"/>
        <v>0</v>
      </c>
      <c r="N177" s="40">
        <f t="shared" si="29"/>
        <v>18360</v>
      </c>
      <c r="O177" s="40">
        <f>SUM(F177:N177)</f>
        <v>324360</v>
      </c>
      <c r="P177" s="32"/>
    </row>
    <row r="178" spans="1:15" ht="38.25">
      <c r="A178" s="24"/>
      <c r="B178" s="77"/>
      <c r="C178" s="25">
        <v>5.1</v>
      </c>
      <c r="D178" s="26" t="s">
        <v>504</v>
      </c>
      <c r="E178" s="30"/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f aca="true" t="shared" si="30" ref="N178:N220">SUM(F178:M178)*0.06</f>
        <v>0</v>
      </c>
      <c r="O178" s="40">
        <f aca="true" t="shared" si="31" ref="O178:O220">SUM(F178:N178)</f>
        <v>0</v>
      </c>
    </row>
    <row r="179" spans="1:15" ht="38.25">
      <c r="A179" s="24"/>
      <c r="B179" s="77"/>
      <c r="C179" s="25">
        <v>5.2</v>
      </c>
      <c r="D179" s="26" t="s">
        <v>505</v>
      </c>
      <c r="E179" s="30"/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f t="shared" si="30"/>
        <v>0</v>
      </c>
      <c r="O179" s="40">
        <f t="shared" si="31"/>
        <v>0</v>
      </c>
    </row>
    <row r="180" spans="1:15" ht="25.5">
      <c r="A180" s="24"/>
      <c r="B180" s="77"/>
      <c r="C180" s="25">
        <v>5.3</v>
      </c>
      <c r="D180" s="26" t="s">
        <v>506</v>
      </c>
      <c r="E180" s="30"/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40000</v>
      </c>
      <c r="L180" s="40">
        <v>0</v>
      </c>
      <c r="M180" s="40">
        <v>0</v>
      </c>
      <c r="N180" s="40">
        <f t="shared" si="30"/>
        <v>2400</v>
      </c>
      <c r="O180" s="40">
        <f t="shared" si="31"/>
        <v>42400</v>
      </c>
    </row>
    <row r="181" spans="1:15" ht="25.5">
      <c r="A181" s="24"/>
      <c r="B181" s="77"/>
      <c r="C181" s="25">
        <v>5.4</v>
      </c>
      <c r="D181" s="26" t="s">
        <v>507</v>
      </c>
      <c r="E181" s="30"/>
      <c r="F181" s="40">
        <v>0</v>
      </c>
      <c r="G181" s="40">
        <v>0</v>
      </c>
      <c r="H181" s="40">
        <v>20000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f t="shared" si="30"/>
        <v>1200</v>
      </c>
      <c r="O181" s="40">
        <f t="shared" si="31"/>
        <v>21200</v>
      </c>
    </row>
    <row r="182" spans="1:15" ht="25.5">
      <c r="A182" s="24"/>
      <c r="B182" s="77"/>
      <c r="C182" s="25">
        <v>5.5</v>
      </c>
      <c r="D182" s="26" t="s">
        <v>508</v>
      </c>
      <c r="E182" s="30"/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1000</v>
      </c>
      <c r="L182" s="40">
        <v>0</v>
      </c>
      <c r="M182" s="40">
        <v>0</v>
      </c>
      <c r="N182" s="40">
        <f t="shared" si="30"/>
        <v>60</v>
      </c>
      <c r="O182" s="40">
        <f t="shared" si="31"/>
        <v>1060</v>
      </c>
    </row>
    <row r="183" spans="1:15" ht="25.5">
      <c r="A183" s="24"/>
      <c r="B183" s="77"/>
      <c r="C183" s="25">
        <v>5.6</v>
      </c>
      <c r="D183" s="26" t="s">
        <v>509</v>
      </c>
      <c r="E183" s="30"/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f t="shared" si="30"/>
        <v>0</v>
      </c>
      <c r="O183" s="40">
        <f t="shared" si="31"/>
        <v>0</v>
      </c>
    </row>
    <row r="184" spans="1:15" ht="25.5">
      <c r="A184" s="24"/>
      <c r="B184" s="77"/>
      <c r="C184" s="25">
        <v>5.7</v>
      </c>
      <c r="D184" s="26" t="s">
        <v>510</v>
      </c>
      <c r="E184" s="30"/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f t="shared" si="30"/>
        <v>0</v>
      </c>
      <c r="O184" s="40">
        <f t="shared" si="31"/>
        <v>0</v>
      </c>
    </row>
    <row r="185" spans="1:15" ht="12.75">
      <c r="A185" s="24"/>
      <c r="B185" s="77"/>
      <c r="C185" s="25">
        <v>5.8</v>
      </c>
      <c r="D185" s="26" t="s">
        <v>511</v>
      </c>
      <c r="E185" s="30"/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f t="shared" si="30"/>
        <v>0</v>
      </c>
      <c r="O185" s="40">
        <f t="shared" si="31"/>
        <v>0</v>
      </c>
    </row>
    <row r="186" spans="1:15" ht="25.5">
      <c r="A186" s="24"/>
      <c r="B186" s="77"/>
      <c r="C186" s="25">
        <v>5.9</v>
      </c>
      <c r="D186" s="26" t="s">
        <v>512</v>
      </c>
      <c r="E186" s="30"/>
      <c r="F186" s="40">
        <v>0</v>
      </c>
      <c r="G186" s="40">
        <v>0</v>
      </c>
      <c r="H186" s="40">
        <v>24000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f t="shared" si="30"/>
        <v>1440</v>
      </c>
      <c r="O186" s="40">
        <f t="shared" si="31"/>
        <v>25440</v>
      </c>
    </row>
    <row r="187" spans="1:15" ht="25.5">
      <c r="A187" s="24"/>
      <c r="B187" s="77"/>
      <c r="C187" s="25">
        <v>5.91</v>
      </c>
      <c r="D187" s="26" t="s">
        <v>513</v>
      </c>
      <c r="E187" s="30"/>
      <c r="F187" s="40">
        <v>0</v>
      </c>
      <c r="G187" s="40">
        <v>0</v>
      </c>
      <c r="H187" s="40">
        <v>20000</v>
      </c>
      <c r="I187" s="40">
        <v>0</v>
      </c>
      <c r="J187" s="40">
        <v>0</v>
      </c>
      <c r="K187" s="40">
        <v>2500</v>
      </c>
      <c r="L187" s="40">
        <v>0</v>
      </c>
      <c r="M187" s="40">
        <v>0</v>
      </c>
      <c r="N187" s="40">
        <f t="shared" si="30"/>
        <v>1350</v>
      </c>
      <c r="O187" s="40">
        <f t="shared" si="31"/>
        <v>23850</v>
      </c>
    </row>
    <row r="188" spans="1:15" ht="25.5">
      <c r="A188" s="24"/>
      <c r="B188" s="77"/>
      <c r="C188" s="25">
        <v>5.92</v>
      </c>
      <c r="D188" s="26" t="s">
        <v>514</v>
      </c>
      <c r="E188" s="30"/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f t="shared" si="30"/>
        <v>0</v>
      </c>
      <c r="O188" s="40">
        <f t="shared" si="31"/>
        <v>0</v>
      </c>
    </row>
    <row r="189" spans="1:15" ht="25.5">
      <c r="A189" s="24"/>
      <c r="B189" s="77"/>
      <c r="C189" s="25">
        <v>5.93</v>
      </c>
      <c r="D189" s="79" t="s">
        <v>515</v>
      </c>
      <c r="E189" s="30"/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f t="shared" si="30"/>
        <v>0</v>
      </c>
      <c r="O189" s="40">
        <f t="shared" si="31"/>
        <v>0</v>
      </c>
    </row>
    <row r="190" spans="1:15" ht="38.25">
      <c r="A190" s="24"/>
      <c r="B190" s="77"/>
      <c r="C190" s="25">
        <v>5.94</v>
      </c>
      <c r="D190" s="26" t="s">
        <v>516</v>
      </c>
      <c r="E190" s="30"/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f t="shared" si="30"/>
        <v>0</v>
      </c>
      <c r="O190" s="40">
        <f t="shared" si="31"/>
        <v>0</v>
      </c>
    </row>
    <row r="191" spans="1:15" ht="25.5">
      <c r="A191" s="24"/>
      <c r="B191" s="77"/>
      <c r="C191" s="25">
        <v>5.95</v>
      </c>
      <c r="D191" s="26" t="s">
        <v>517</v>
      </c>
      <c r="E191" s="30"/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f t="shared" si="30"/>
        <v>0</v>
      </c>
      <c r="O191" s="40">
        <f t="shared" si="31"/>
        <v>0</v>
      </c>
    </row>
    <row r="192" spans="1:15" ht="25.5">
      <c r="A192" s="24"/>
      <c r="B192" s="77"/>
      <c r="C192" s="25">
        <v>5.96</v>
      </c>
      <c r="D192" s="26" t="s">
        <v>518</v>
      </c>
      <c r="E192" s="30"/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f t="shared" si="30"/>
        <v>0</v>
      </c>
      <c r="O192" s="40">
        <f t="shared" si="31"/>
        <v>0</v>
      </c>
    </row>
    <row r="193" spans="1:15" ht="38.25">
      <c r="A193" s="24"/>
      <c r="B193" s="77"/>
      <c r="C193" s="25">
        <v>5.97</v>
      </c>
      <c r="D193" s="26" t="s">
        <v>519</v>
      </c>
      <c r="E193" s="30"/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f t="shared" si="30"/>
        <v>0</v>
      </c>
      <c r="O193" s="40">
        <f t="shared" si="31"/>
        <v>0</v>
      </c>
    </row>
    <row r="194" spans="1:15" ht="38.25">
      <c r="A194" s="24"/>
      <c r="B194" s="77"/>
      <c r="C194" s="25">
        <v>5.98</v>
      </c>
      <c r="D194" s="26" t="s">
        <v>520</v>
      </c>
      <c r="E194" s="30"/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f t="shared" si="30"/>
        <v>0</v>
      </c>
      <c r="O194" s="40">
        <f t="shared" si="31"/>
        <v>0</v>
      </c>
    </row>
    <row r="195" spans="1:15" ht="12.75">
      <c r="A195" s="24"/>
      <c r="B195" s="77"/>
      <c r="C195" s="25">
        <v>5.99</v>
      </c>
      <c r="D195" s="26" t="s">
        <v>521</v>
      </c>
      <c r="E195" s="30"/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6000</v>
      </c>
      <c r="L195" s="40">
        <v>0</v>
      </c>
      <c r="M195" s="40">
        <v>0</v>
      </c>
      <c r="N195" s="40">
        <f t="shared" si="30"/>
        <v>360</v>
      </c>
      <c r="O195" s="40">
        <f t="shared" si="31"/>
        <v>6360</v>
      </c>
    </row>
    <row r="196" spans="1:15" ht="12.75">
      <c r="A196" s="24"/>
      <c r="B196" s="77"/>
      <c r="C196" s="25">
        <v>5.991</v>
      </c>
      <c r="D196" s="26" t="s">
        <v>522</v>
      </c>
      <c r="E196" s="30"/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f t="shared" si="30"/>
        <v>0</v>
      </c>
      <c r="O196" s="40">
        <f t="shared" si="31"/>
        <v>0</v>
      </c>
    </row>
    <row r="197" spans="1:15" ht="12.75">
      <c r="A197" s="24"/>
      <c r="B197" s="77"/>
      <c r="C197" s="25">
        <v>5.992</v>
      </c>
      <c r="D197" s="26" t="s">
        <v>523</v>
      </c>
      <c r="E197" s="30"/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f t="shared" si="30"/>
        <v>0</v>
      </c>
      <c r="O197" s="40">
        <f t="shared" si="31"/>
        <v>0</v>
      </c>
    </row>
    <row r="198" spans="1:15" ht="25.5">
      <c r="A198" s="24"/>
      <c r="B198" s="77"/>
      <c r="C198" s="25">
        <v>5.993</v>
      </c>
      <c r="D198" s="79" t="s">
        <v>524</v>
      </c>
      <c r="E198" s="30"/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f t="shared" si="30"/>
        <v>0</v>
      </c>
      <c r="O198" s="40">
        <f t="shared" si="31"/>
        <v>0</v>
      </c>
    </row>
    <row r="199" spans="1:15" ht="12.75">
      <c r="A199" s="24"/>
      <c r="B199" s="77"/>
      <c r="C199" s="25">
        <v>5.994</v>
      </c>
      <c r="D199" s="26" t="s">
        <v>525</v>
      </c>
      <c r="E199" s="30"/>
      <c r="F199" s="40">
        <v>0</v>
      </c>
      <c r="G199" s="40">
        <v>0</v>
      </c>
      <c r="H199" s="40">
        <v>25000</v>
      </c>
      <c r="I199" s="40">
        <v>0</v>
      </c>
      <c r="J199" s="40">
        <v>0</v>
      </c>
      <c r="K199" s="40">
        <v>2500</v>
      </c>
      <c r="L199" s="40">
        <v>0</v>
      </c>
      <c r="M199" s="40">
        <v>0</v>
      </c>
      <c r="N199" s="40">
        <f t="shared" si="30"/>
        <v>1650</v>
      </c>
      <c r="O199" s="40">
        <f t="shared" si="31"/>
        <v>29150</v>
      </c>
    </row>
    <row r="200" spans="1:15" ht="25.5">
      <c r="A200" s="24"/>
      <c r="B200" s="77"/>
      <c r="C200" s="25">
        <v>5.995</v>
      </c>
      <c r="D200" s="26" t="s">
        <v>526</v>
      </c>
      <c r="E200" s="30"/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f t="shared" si="30"/>
        <v>0</v>
      </c>
      <c r="O200" s="40">
        <f t="shared" si="31"/>
        <v>0</v>
      </c>
    </row>
    <row r="201" spans="1:15" ht="51">
      <c r="A201" s="24"/>
      <c r="B201" s="77"/>
      <c r="C201" s="25">
        <v>5.996</v>
      </c>
      <c r="D201" s="26" t="s">
        <v>527</v>
      </c>
      <c r="E201" s="30"/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f t="shared" si="30"/>
        <v>0</v>
      </c>
      <c r="O201" s="40">
        <f t="shared" si="31"/>
        <v>0</v>
      </c>
    </row>
    <row r="202" spans="1:15" ht="25.5">
      <c r="A202" s="24"/>
      <c r="B202" s="77"/>
      <c r="C202" s="25">
        <v>5.997</v>
      </c>
      <c r="D202" s="79" t="s">
        <v>528</v>
      </c>
      <c r="E202" s="30"/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f t="shared" si="30"/>
        <v>0</v>
      </c>
      <c r="O202" s="40">
        <f t="shared" si="31"/>
        <v>0</v>
      </c>
    </row>
    <row r="203" spans="1:15" ht="12.75">
      <c r="A203" s="24"/>
      <c r="B203" s="77"/>
      <c r="C203" s="25">
        <v>5.998</v>
      </c>
      <c r="D203" s="79" t="s">
        <v>529</v>
      </c>
      <c r="E203" s="30"/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f t="shared" si="30"/>
        <v>0</v>
      </c>
      <c r="O203" s="40">
        <f t="shared" si="31"/>
        <v>0</v>
      </c>
    </row>
    <row r="204" spans="1:15" ht="25.5">
      <c r="A204" s="24"/>
      <c r="B204" s="77"/>
      <c r="C204" s="25">
        <v>5.999</v>
      </c>
      <c r="D204" s="26" t="s">
        <v>530</v>
      </c>
      <c r="E204" s="30"/>
      <c r="F204" s="40">
        <v>0</v>
      </c>
      <c r="G204" s="40">
        <v>0</v>
      </c>
      <c r="H204" s="40">
        <v>30000</v>
      </c>
      <c r="I204" s="40">
        <v>0</v>
      </c>
      <c r="J204" s="40">
        <v>0</v>
      </c>
      <c r="K204" s="40">
        <v>5000</v>
      </c>
      <c r="L204" s="40">
        <v>0</v>
      </c>
      <c r="M204" s="40">
        <v>0</v>
      </c>
      <c r="N204" s="40">
        <f t="shared" si="30"/>
        <v>2100</v>
      </c>
      <c r="O204" s="40">
        <f t="shared" si="31"/>
        <v>37100</v>
      </c>
    </row>
    <row r="205" spans="1:15" ht="38.25">
      <c r="A205" s="24"/>
      <c r="B205" s="77"/>
      <c r="C205" s="25">
        <v>5.9991</v>
      </c>
      <c r="D205" s="26" t="s">
        <v>531</v>
      </c>
      <c r="E205" s="30"/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f t="shared" si="30"/>
        <v>0</v>
      </c>
      <c r="O205" s="40">
        <f t="shared" si="31"/>
        <v>0</v>
      </c>
    </row>
    <row r="206" spans="1:15" ht="38.25">
      <c r="A206" s="24"/>
      <c r="B206" s="77"/>
      <c r="C206" s="25">
        <v>5.9992</v>
      </c>
      <c r="D206" s="26" t="s">
        <v>532</v>
      </c>
      <c r="E206" s="30"/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f t="shared" si="30"/>
        <v>0</v>
      </c>
      <c r="O206" s="40">
        <f t="shared" si="31"/>
        <v>0</v>
      </c>
    </row>
    <row r="207" spans="1:15" ht="25.5">
      <c r="A207" s="24"/>
      <c r="B207" s="77"/>
      <c r="C207" s="25">
        <v>5.9993</v>
      </c>
      <c r="D207" s="79" t="s">
        <v>533</v>
      </c>
      <c r="E207" s="30"/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f t="shared" si="30"/>
        <v>0</v>
      </c>
      <c r="O207" s="40">
        <f t="shared" si="31"/>
        <v>0</v>
      </c>
    </row>
    <row r="208" spans="1:15" ht="25.5">
      <c r="A208" s="24"/>
      <c r="B208" s="77"/>
      <c r="C208" s="25">
        <v>5.9994</v>
      </c>
      <c r="D208" s="26" t="s">
        <v>534</v>
      </c>
      <c r="E208" s="30"/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f t="shared" si="30"/>
        <v>0</v>
      </c>
      <c r="O208" s="40">
        <f t="shared" si="31"/>
        <v>0</v>
      </c>
    </row>
    <row r="209" spans="1:15" ht="38.25">
      <c r="A209" s="24"/>
      <c r="B209" s="77"/>
      <c r="C209" s="25">
        <v>5.9995</v>
      </c>
      <c r="D209" s="26" t="s">
        <v>535</v>
      </c>
      <c r="E209" s="30"/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f t="shared" si="30"/>
        <v>0</v>
      </c>
      <c r="O209" s="40">
        <f t="shared" si="31"/>
        <v>0</v>
      </c>
    </row>
    <row r="210" spans="1:15" ht="38.25">
      <c r="A210" s="24"/>
      <c r="B210" s="77"/>
      <c r="C210" s="25">
        <v>5.9996</v>
      </c>
      <c r="D210" s="26" t="s">
        <v>536</v>
      </c>
      <c r="E210" s="30"/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f t="shared" si="30"/>
        <v>0</v>
      </c>
      <c r="O210" s="40">
        <f t="shared" si="31"/>
        <v>0</v>
      </c>
    </row>
    <row r="211" spans="1:15" ht="25.5">
      <c r="A211" s="24"/>
      <c r="B211" s="77"/>
      <c r="C211" s="25">
        <v>5.9997</v>
      </c>
      <c r="D211" s="26" t="s">
        <v>537</v>
      </c>
      <c r="E211" s="30"/>
      <c r="F211" s="40">
        <v>0</v>
      </c>
      <c r="G211" s="40">
        <v>0</v>
      </c>
      <c r="H211" s="40">
        <v>15000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f t="shared" si="30"/>
        <v>900</v>
      </c>
      <c r="O211" s="40">
        <f t="shared" si="31"/>
        <v>15900</v>
      </c>
    </row>
    <row r="212" spans="1:15" ht="25.5">
      <c r="A212" s="24"/>
      <c r="B212" s="77"/>
      <c r="C212" s="25">
        <v>5.9998</v>
      </c>
      <c r="D212" s="26" t="s">
        <v>538</v>
      </c>
      <c r="E212" s="30"/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f t="shared" si="30"/>
        <v>0</v>
      </c>
      <c r="O212" s="40">
        <f t="shared" si="31"/>
        <v>0</v>
      </c>
    </row>
    <row r="213" spans="1:15" ht="25.5">
      <c r="A213" s="24"/>
      <c r="B213" s="77"/>
      <c r="C213" s="25">
        <v>5.9999</v>
      </c>
      <c r="D213" s="26" t="s">
        <v>539</v>
      </c>
      <c r="E213" s="30"/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f t="shared" si="30"/>
        <v>0</v>
      </c>
      <c r="O213" s="40">
        <f t="shared" si="31"/>
        <v>0</v>
      </c>
    </row>
    <row r="214" spans="1:15" ht="12.75">
      <c r="A214" s="24"/>
      <c r="B214" s="77"/>
      <c r="C214" s="25">
        <v>5.99991</v>
      </c>
      <c r="D214" s="26" t="s">
        <v>540</v>
      </c>
      <c r="E214" s="30"/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f t="shared" si="30"/>
        <v>0</v>
      </c>
      <c r="O214" s="40">
        <f t="shared" si="31"/>
        <v>0</v>
      </c>
    </row>
    <row r="215" spans="1:15" ht="38.25">
      <c r="A215" s="24"/>
      <c r="B215" s="77"/>
      <c r="C215" s="25">
        <v>5.99992</v>
      </c>
      <c r="D215" s="26" t="s">
        <v>541</v>
      </c>
      <c r="E215" s="30"/>
      <c r="F215" s="40">
        <v>0</v>
      </c>
      <c r="G215" s="40">
        <v>0</v>
      </c>
      <c r="H215" s="40">
        <v>20000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f t="shared" si="30"/>
        <v>1200</v>
      </c>
      <c r="O215" s="40">
        <f t="shared" si="31"/>
        <v>21200</v>
      </c>
    </row>
    <row r="216" spans="1:15" ht="25.5">
      <c r="A216" s="24"/>
      <c r="B216" s="77"/>
      <c r="C216" s="25">
        <v>5.99993</v>
      </c>
      <c r="D216" s="26" t="s">
        <v>542</v>
      </c>
      <c r="E216" s="30"/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f t="shared" si="30"/>
        <v>0</v>
      </c>
      <c r="O216" s="40">
        <f t="shared" si="31"/>
        <v>0</v>
      </c>
    </row>
    <row r="217" spans="1:15" ht="12.75">
      <c r="A217" s="24"/>
      <c r="B217" s="77"/>
      <c r="C217" s="25">
        <v>5.99994</v>
      </c>
      <c r="D217" s="26" t="s">
        <v>543</v>
      </c>
      <c r="E217" s="30"/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10000</v>
      </c>
      <c r="L217" s="40">
        <v>0</v>
      </c>
      <c r="M217" s="40">
        <v>0</v>
      </c>
      <c r="N217" s="40">
        <f t="shared" si="30"/>
        <v>600</v>
      </c>
      <c r="O217" s="40">
        <f t="shared" si="31"/>
        <v>10600</v>
      </c>
    </row>
    <row r="218" spans="1:15" ht="25.5">
      <c r="A218" s="24"/>
      <c r="B218" s="77"/>
      <c r="C218" s="25">
        <v>5.99995</v>
      </c>
      <c r="D218" s="26" t="s">
        <v>544</v>
      </c>
      <c r="E218" s="30"/>
      <c r="F218" s="40">
        <v>0</v>
      </c>
      <c r="G218" s="40">
        <v>0</v>
      </c>
      <c r="H218" s="40">
        <v>35000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f t="shared" si="30"/>
        <v>2100</v>
      </c>
      <c r="O218" s="40">
        <f t="shared" si="31"/>
        <v>37100</v>
      </c>
    </row>
    <row r="219" spans="1:15" ht="25.5">
      <c r="A219" s="24"/>
      <c r="B219" s="77"/>
      <c r="C219" s="25">
        <v>5.99996</v>
      </c>
      <c r="D219" s="26" t="s">
        <v>545</v>
      </c>
      <c r="E219" s="30"/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f t="shared" si="30"/>
        <v>0</v>
      </c>
      <c r="O219" s="40">
        <f t="shared" si="31"/>
        <v>0</v>
      </c>
    </row>
    <row r="220" spans="1:15" ht="25.5">
      <c r="A220" s="24"/>
      <c r="B220" s="77"/>
      <c r="C220" s="25">
        <v>5.99997</v>
      </c>
      <c r="D220" s="26" t="s">
        <v>546</v>
      </c>
      <c r="E220" s="30"/>
      <c r="F220" s="40">
        <v>0</v>
      </c>
      <c r="G220" s="40">
        <v>0</v>
      </c>
      <c r="H220" s="40">
        <v>50000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f t="shared" si="30"/>
        <v>3000</v>
      </c>
      <c r="O220" s="40">
        <f t="shared" si="31"/>
        <v>53000</v>
      </c>
    </row>
    <row r="221" spans="1:15" ht="12.75">
      <c r="A221" s="24"/>
      <c r="B221" s="77"/>
      <c r="C221" s="25"/>
      <c r="D221" s="26"/>
      <c r="E221" s="30"/>
      <c r="F221" s="40"/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1:15" ht="12.75">
      <c r="A222" s="24"/>
      <c r="B222" s="77">
        <v>6</v>
      </c>
      <c r="C222" s="25" t="s">
        <v>547</v>
      </c>
      <c r="D222" s="26"/>
      <c r="E222" s="30" t="s">
        <v>266</v>
      </c>
      <c r="F222" s="40">
        <f aca="true" t="shared" si="32" ref="F222:M222">+F223+F224</f>
        <v>0</v>
      </c>
      <c r="G222" s="40">
        <f t="shared" si="32"/>
        <v>0</v>
      </c>
      <c r="H222" s="40">
        <f t="shared" si="32"/>
        <v>0</v>
      </c>
      <c r="I222" s="40">
        <f t="shared" si="32"/>
        <v>0</v>
      </c>
      <c r="J222" s="40">
        <f t="shared" si="32"/>
        <v>0</v>
      </c>
      <c r="K222" s="40">
        <f>+K223+K224</f>
        <v>35000</v>
      </c>
      <c r="L222" s="40">
        <f t="shared" si="32"/>
        <v>0</v>
      </c>
      <c r="M222" s="40">
        <f t="shared" si="32"/>
        <v>0</v>
      </c>
      <c r="N222" s="40">
        <f>+N223+N224</f>
        <v>2100</v>
      </c>
      <c r="O222" s="40">
        <f>SUM(F222:N222)</f>
        <v>37100</v>
      </c>
    </row>
    <row r="223" spans="1:15" ht="12.75">
      <c r="A223" s="24"/>
      <c r="B223" s="77"/>
      <c r="C223" s="25">
        <v>6.1</v>
      </c>
      <c r="D223" s="26" t="s">
        <v>548</v>
      </c>
      <c r="E223" s="30"/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f>SUM(F223:M223)*0.06</f>
        <v>0</v>
      </c>
      <c r="O223" s="40">
        <f>SUM(F223:N223)</f>
        <v>0</v>
      </c>
    </row>
    <row r="224" spans="1:15" ht="12.75">
      <c r="A224" s="24"/>
      <c r="B224" s="77"/>
      <c r="C224" s="25">
        <v>6.2</v>
      </c>
      <c r="D224" s="26" t="s">
        <v>549</v>
      </c>
      <c r="E224" s="30"/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35000</v>
      </c>
      <c r="L224" s="40">
        <v>0</v>
      </c>
      <c r="M224" s="40">
        <v>0</v>
      </c>
      <c r="N224" s="40">
        <f>SUM(F224:M224)*0.06</f>
        <v>2100</v>
      </c>
      <c r="O224" s="40">
        <f>SUM(F224:N224)</f>
        <v>37100</v>
      </c>
    </row>
    <row r="225" spans="1:15" ht="12.75">
      <c r="A225" s="24"/>
      <c r="B225" s="77"/>
      <c r="C225" s="25"/>
      <c r="D225" s="26"/>
      <c r="E225" s="30"/>
      <c r="F225" s="40"/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1:16" ht="12.75">
      <c r="A226" s="24"/>
      <c r="B226" s="77">
        <v>7</v>
      </c>
      <c r="C226" s="25" t="s">
        <v>550</v>
      </c>
      <c r="D226" s="26"/>
      <c r="E226" s="30" t="s">
        <v>266</v>
      </c>
      <c r="F226" s="40">
        <f aca="true" t="shared" si="33" ref="F226:N226">+F227+F228+F229+F230</f>
        <v>0</v>
      </c>
      <c r="G226" s="40">
        <f t="shared" si="33"/>
        <v>0</v>
      </c>
      <c r="H226" s="40">
        <f t="shared" si="33"/>
        <v>15000</v>
      </c>
      <c r="I226" s="40">
        <f t="shared" si="33"/>
        <v>0</v>
      </c>
      <c r="J226" s="40">
        <f t="shared" si="33"/>
        <v>0</v>
      </c>
      <c r="K226" s="40">
        <f t="shared" si="33"/>
        <v>0</v>
      </c>
      <c r="L226" s="40">
        <f t="shared" si="33"/>
        <v>0</v>
      </c>
      <c r="M226" s="40">
        <f t="shared" si="33"/>
        <v>0</v>
      </c>
      <c r="N226" s="40">
        <f t="shared" si="33"/>
        <v>900</v>
      </c>
      <c r="O226" s="40">
        <f>SUM(F226:N226)</f>
        <v>15900</v>
      </c>
      <c r="P226" s="32"/>
    </row>
    <row r="227" spans="1:15" ht="12.75">
      <c r="A227" s="24"/>
      <c r="B227" s="77"/>
      <c r="C227" s="25">
        <v>7.1</v>
      </c>
      <c r="D227" s="26" t="s">
        <v>551</v>
      </c>
      <c r="E227" s="30"/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f>SUM(F227:N227)</f>
        <v>0</v>
      </c>
    </row>
    <row r="228" spans="1:15" ht="25.5">
      <c r="A228" s="24"/>
      <c r="B228" s="77"/>
      <c r="C228" s="25">
        <v>7.2</v>
      </c>
      <c r="D228" s="26" t="s">
        <v>552</v>
      </c>
      <c r="E228" s="30"/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f>SUM(F228:N228)</f>
        <v>0</v>
      </c>
    </row>
    <row r="229" spans="1:15" ht="12.75">
      <c r="A229" s="24"/>
      <c r="B229" s="77"/>
      <c r="C229" s="25">
        <v>7.3</v>
      </c>
      <c r="D229" s="26" t="s">
        <v>553</v>
      </c>
      <c r="E229" s="30"/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f>SUM(F229:N229)</f>
        <v>0</v>
      </c>
    </row>
    <row r="230" spans="1:15" ht="38.25">
      <c r="A230" s="24"/>
      <c r="B230" s="77"/>
      <c r="C230" s="25">
        <v>7.4</v>
      </c>
      <c r="D230" s="26" t="s">
        <v>554</v>
      </c>
      <c r="E230" s="30"/>
      <c r="F230" s="40">
        <v>0</v>
      </c>
      <c r="G230" s="40">
        <v>0</v>
      </c>
      <c r="H230" s="40">
        <v>15000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900</v>
      </c>
      <c r="O230" s="40">
        <f>SUM(F230:N230)</f>
        <v>15900</v>
      </c>
    </row>
    <row r="231" spans="1:15" ht="12.75">
      <c r="A231" s="24"/>
      <c r="B231" s="77"/>
      <c r="C231" s="25"/>
      <c r="D231" s="26"/>
      <c r="E231" s="30"/>
      <c r="F231" s="40"/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1:16" ht="12.75">
      <c r="A232" s="24"/>
      <c r="B232" s="77">
        <v>8</v>
      </c>
      <c r="C232" s="25" t="s">
        <v>555</v>
      </c>
      <c r="D232" s="26"/>
      <c r="E232" s="30" t="s">
        <v>266</v>
      </c>
      <c r="F232" s="40">
        <f aca="true" t="shared" si="34" ref="F232:L232">+F233+F234+F235+F236+F237+F238</f>
        <v>0</v>
      </c>
      <c r="G232" s="40">
        <f t="shared" si="34"/>
        <v>0</v>
      </c>
      <c r="H232" s="40">
        <f t="shared" si="34"/>
        <v>0</v>
      </c>
      <c r="I232" s="40">
        <f t="shared" si="34"/>
        <v>0</v>
      </c>
      <c r="J232" s="40">
        <f t="shared" si="34"/>
        <v>63000</v>
      </c>
      <c r="K232" s="40">
        <f t="shared" si="34"/>
        <v>0</v>
      </c>
      <c r="L232" s="40">
        <f t="shared" si="34"/>
        <v>0</v>
      </c>
      <c r="M232" s="40">
        <f>+M233+M234+M235+M236+M237+M238</f>
        <v>0</v>
      </c>
      <c r="N232" s="40">
        <f>+N233+N234+N235+N236+N237+N238</f>
        <v>3780</v>
      </c>
      <c r="O232" s="40">
        <f>SUM(F232:N232)</f>
        <v>66780</v>
      </c>
      <c r="P232" s="32"/>
    </row>
    <row r="233" spans="1:15" ht="25.5">
      <c r="A233" s="24"/>
      <c r="B233" s="77"/>
      <c r="C233" s="25">
        <v>8.1</v>
      </c>
      <c r="D233" s="26" t="s">
        <v>556</v>
      </c>
      <c r="E233" s="30"/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f aca="true" t="shared" si="35" ref="N233:N238">SUM(F233:M233)*0.06</f>
        <v>0</v>
      </c>
      <c r="O233" s="40">
        <f aca="true" t="shared" si="36" ref="O233:O238">SUM(F233:N233)</f>
        <v>0</v>
      </c>
    </row>
    <row r="234" spans="1:15" ht="25.5">
      <c r="A234" s="24"/>
      <c r="B234" s="77"/>
      <c r="C234" s="25">
        <v>8.2</v>
      </c>
      <c r="D234" s="26" t="s">
        <v>557</v>
      </c>
      <c r="E234" s="30"/>
      <c r="F234" s="40">
        <v>0</v>
      </c>
      <c r="G234" s="40">
        <v>0</v>
      </c>
      <c r="H234" s="40">
        <v>0</v>
      </c>
      <c r="I234" s="40">
        <v>0</v>
      </c>
      <c r="J234" s="40">
        <v>3000</v>
      </c>
      <c r="K234" s="40">
        <v>0</v>
      </c>
      <c r="L234" s="40">
        <v>0</v>
      </c>
      <c r="M234" s="40">
        <v>0</v>
      </c>
      <c r="N234" s="40">
        <f t="shared" si="35"/>
        <v>180</v>
      </c>
      <c r="O234" s="40">
        <f t="shared" si="36"/>
        <v>3180</v>
      </c>
    </row>
    <row r="235" spans="1:15" ht="25.5">
      <c r="A235" s="24"/>
      <c r="B235" s="77"/>
      <c r="C235" s="25">
        <v>8.3</v>
      </c>
      <c r="D235" s="26" t="s">
        <v>558</v>
      </c>
      <c r="E235" s="30"/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f t="shared" si="35"/>
        <v>0</v>
      </c>
      <c r="O235" s="40">
        <f t="shared" si="36"/>
        <v>0</v>
      </c>
    </row>
    <row r="236" spans="1:15" ht="38.25">
      <c r="A236" s="24"/>
      <c r="B236" s="77"/>
      <c r="C236" s="25">
        <v>8.4</v>
      </c>
      <c r="D236" s="26" t="s">
        <v>559</v>
      </c>
      <c r="E236" s="30"/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f t="shared" si="35"/>
        <v>0</v>
      </c>
      <c r="O236" s="40">
        <f t="shared" si="36"/>
        <v>0</v>
      </c>
    </row>
    <row r="237" spans="1:15" ht="25.5">
      <c r="A237" s="24"/>
      <c r="B237" s="77"/>
      <c r="C237" s="25">
        <v>8.5</v>
      </c>
      <c r="D237" s="26" t="s">
        <v>560</v>
      </c>
      <c r="E237" s="30"/>
      <c r="F237" s="40">
        <v>0</v>
      </c>
      <c r="G237" s="40">
        <v>0</v>
      </c>
      <c r="H237" s="40">
        <v>0</v>
      </c>
      <c r="I237" s="40">
        <v>0</v>
      </c>
      <c r="J237" s="40">
        <v>60000</v>
      </c>
      <c r="K237" s="40">
        <v>0</v>
      </c>
      <c r="L237" s="40">
        <v>0</v>
      </c>
      <c r="M237" s="40">
        <v>0</v>
      </c>
      <c r="N237" s="40">
        <f t="shared" si="35"/>
        <v>3600</v>
      </c>
      <c r="O237" s="40">
        <f t="shared" si="36"/>
        <v>63600</v>
      </c>
    </row>
    <row r="238" spans="1:15" ht="38.25">
      <c r="A238" s="24"/>
      <c r="B238" s="77"/>
      <c r="C238" s="25">
        <v>8.6</v>
      </c>
      <c r="D238" s="26" t="s">
        <v>561</v>
      </c>
      <c r="E238" s="30"/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f t="shared" si="35"/>
        <v>0</v>
      </c>
      <c r="O238" s="40">
        <f t="shared" si="36"/>
        <v>0</v>
      </c>
    </row>
    <row r="239" spans="1:15" ht="12.75">
      <c r="A239" s="24"/>
      <c r="B239" s="77"/>
      <c r="C239" s="25"/>
      <c r="D239" s="26"/>
      <c r="E239" s="30"/>
      <c r="F239" s="40"/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1:16" ht="12.75">
      <c r="A240" s="24"/>
      <c r="B240" s="77">
        <v>9</v>
      </c>
      <c r="C240" s="25" t="s">
        <v>44</v>
      </c>
      <c r="D240" s="26"/>
      <c r="E240" s="30" t="s">
        <v>287</v>
      </c>
      <c r="F240" s="40">
        <f aca="true" t="shared" si="37" ref="F240:N240">+F241+F242+F243+F244+F245+F246+F247+F248+F249</f>
        <v>0</v>
      </c>
      <c r="G240" s="40">
        <f t="shared" si="37"/>
        <v>0</v>
      </c>
      <c r="H240" s="40">
        <f t="shared" si="37"/>
        <v>49000</v>
      </c>
      <c r="I240" s="40">
        <f t="shared" si="37"/>
        <v>0</v>
      </c>
      <c r="J240" s="40">
        <f t="shared" si="37"/>
        <v>0</v>
      </c>
      <c r="K240" s="40">
        <f t="shared" si="37"/>
        <v>0</v>
      </c>
      <c r="L240" s="40">
        <f t="shared" si="37"/>
        <v>0</v>
      </c>
      <c r="M240" s="40">
        <f t="shared" si="37"/>
        <v>0</v>
      </c>
      <c r="N240" s="40">
        <f t="shared" si="37"/>
        <v>2940</v>
      </c>
      <c r="O240" s="40">
        <f aca="true" t="shared" si="38" ref="O240:O249">SUM(F240:N240)</f>
        <v>51940</v>
      </c>
      <c r="P240" s="32"/>
    </row>
    <row r="241" spans="1:15" ht="25.5">
      <c r="A241" s="24"/>
      <c r="B241" s="77"/>
      <c r="C241" s="25">
        <v>9.1</v>
      </c>
      <c r="D241" s="26" t="s">
        <v>562</v>
      </c>
      <c r="E241" s="30"/>
      <c r="F241" s="40">
        <v>0</v>
      </c>
      <c r="G241" s="40">
        <v>0</v>
      </c>
      <c r="H241" s="40">
        <v>5000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300</v>
      </c>
      <c r="O241" s="40">
        <f t="shared" si="38"/>
        <v>5300</v>
      </c>
    </row>
    <row r="242" spans="1:15" ht="25.5">
      <c r="A242" s="24"/>
      <c r="B242" s="77"/>
      <c r="C242" s="25">
        <v>9.2</v>
      </c>
      <c r="D242" s="26" t="s">
        <v>563</v>
      </c>
      <c r="E242" s="30"/>
      <c r="F242" s="40">
        <v>0</v>
      </c>
      <c r="G242" s="40">
        <v>0</v>
      </c>
      <c r="H242" s="40">
        <v>15000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900</v>
      </c>
      <c r="O242" s="40">
        <f t="shared" si="38"/>
        <v>15900</v>
      </c>
    </row>
    <row r="243" spans="1:15" ht="25.5">
      <c r="A243" s="24"/>
      <c r="B243" s="77"/>
      <c r="C243" s="25">
        <v>9.3</v>
      </c>
      <c r="D243" s="26" t="s">
        <v>564</v>
      </c>
      <c r="E243" s="30"/>
      <c r="F243" s="40">
        <v>0</v>
      </c>
      <c r="G243" s="40">
        <v>0</v>
      </c>
      <c r="H243" s="40">
        <v>3000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180</v>
      </c>
      <c r="O243" s="40">
        <f t="shared" si="38"/>
        <v>3180</v>
      </c>
    </row>
    <row r="244" spans="1:15" ht="12.75">
      <c r="A244" s="24"/>
      <c r="B244" s="77"/>
      <c r="C244" s="25">
        <v>9.4</v>
      </c>
      <c r="D244" s="26" t="s">
        <v>565</v>
      </c>
      <c r="E244" s="47"/>
      <c r="F244" s="40">
        <v>0</v>
      </c>
      <c r="G244" s="40">
        <v>0</v>
      </c>
      <c r="H244" s="40">
        <v>13000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780</v>
      </c>
      <c r="O244" s="40">
        <f t="shared" si="38"/>
        <v>13780</v>
      </c>
    </row>
    <row r="245" spans="1:15" ht="25.5">
      <c r="A245" s="24"/>
      <c r="B245" s="77"/>
      <c r="C245" s="25">
        <v>9.5</v>
      </c>
      <c r="D245" s="26" t="s">
        <v>566</v>
      </c>
      <c r="E245" s="47"/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f t="shared" si="38"/>
        <v>0</v>
      </c>
    </row>
    <row r="246" spans="1:15" ht="25.5">
      <c r="A246" s="24"/>
      <c r="B246" s="77"/>
      <c r="C246" s="25">
        <v>9.6</v>
      </c>
      <c r="D246" s="26" t="s">
        <v>567</v>
      </c>
      <c r="E246" s="47"/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f t="shared" si="38"/>
        <v>0</v>
      </c>
    </row>
    <row r="247" spans="1:15" ht="38.25">
      <c r="A247" s="24"/>
      <c r="B247" s="77"/>
      <c r="C247" s="25">
        <v>9.7</v>
      </c>
      <c r="D247" s="26" t="s">
        <v>568</v>
      </c>
      <c r="E247" s="47"/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f t="shared" si="38"/>
        <v>0</v>
      </c>
    </row>
    <row r="248" spans="1:15" ht="25.5">
      <c r="A248" s="24"/>
      <c r="B248" s="77"/>
      <c r="C248" s="25">
        <v>9.8</v>
      </c>
      <c r="D248" s="26" t="s">
        <v>569</v>
      </c>
      <c r="E248" s="47"/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f t="shared" si="38"/>
        <v>0</v>
      </c>
    </row>
    <row r="249" spans="1:15" ht="38.25">
      <c r="A249" s="24"/>
      <c r="B249" s="77"/>
      <c r="C249" s="25">
        <v>9.9</v>
      </c>
      <c r="D249" s="26" t="s">
        <v>570</v>
      </c>
      <c r="E249" s="47"/>
      <c r="F249" s="40">
        <v>0</v>
      </c>
      <c r="G249" s="40">
        <v>0</v>
      </c>
      <c r="H249" s="40">
        <v>13000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780</v>
      </c>
      <c r="O249" s="40">
        <f t="shared" si="38"/>
        <v>13780</v>
      </c>
    </row>
    <row r="250" spans="1:15" ht="12.75">
      <c r="A250" s="24"/>
      <c r="B250" s="77"/>
      <c r="C250" s="25"/>
      <c r="D250" s="26"/>
      <c r="E250" s="47"/>
      <c r="F250" s="40"/>
      <c r="G250" s="40"/>
      <c r="H250" s="40"/>
      <c r="I250" s="40"/>
      <c r="J250" s="40"/>
      <c r="K250" s="40"/>
      <c r="L250" s="40"/>
      <c r="M250" s="40"/>
      <c r="N250" s="40"/>
      <c r="O250" s="40"/>
    </row>
    <row r="251" spans="1:16" ht="12.75">
      <c r="A251" s="24"/>
      <c r="B251" s="77">
        <v>10</v>
      </c>
      <c r="C251" s="25" t="s">
        <v>45</v>
      </c>
      <c r="D251" s="26"/>
      <c r="E251" s="47" t="s">
        <v>266</v>
      </c>
      <c r="F251" s="40">
        <v>894000</v>
      </c>
      <c r="G251" s="40">
        <f aca="true" t="shared" si="39" ref="G251:M251">+G252+G253+G254</f>
        <v>0</v>
      </c>
      <c r="H251" s="40">
        <f t="shared" si="39"/>
        <v>0</v>
      </c>
      <c r="I251" s="40">
        <f t="shared" si="39"/>
        <v>0</v>
      </c>
      <c r="J251" s="40">
        <f t="shared" si="39"/>
        <v>0</v>
      </c>
      <c r="K251" s="40">
        <f t="shared" si="39"/>
        <v>0</v>
      </c>
      <c r="L251" s="40">
        <f t="shared" si="39"/>
        <v>0</v>
      </c>
      <c r="M251" s="40">
        <f t="shared" si="39"/>
        <v>0</v>
      </c>
      <c r="N251" s="40">
        <f>+N252+N253+N254</f>
        <v>53640</v>
      </c>
      <c r="O251" s="40">
        <f>SUM(F251:N251)</f>
        <v>947640</v>
      </c>
      <c r="P251" s="32"/>
    </row>
    <row r="252" spans="1:15" ht="12.75">
      <c r="A252" s="24"/>
      <c r="B252" s="77"/>
      <c r="C252" s="25">
        <v>10.1</v>
      </c>
      <c r="D252" s="26" t="s">
        <v>571</v>
      </c>
      <c r="E252" s="47"/>
      <c r="F252" s="40">
        <v>366000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21960</v>
      </c>
      <c r="O252" s="40">
        <f>SUM(F252:N252)</f>
        <v>387960</v>
      </c>
    </row>
    <row r="253" spans="1:15" ht="12.75">
      <c r="A253" s="24"/>
      <c r="B253" s="77"/>
      <c r="C253" s="25">
        <v>10.2</v>
      </c>
      <c r="D253" s="26" t="s">
        <v>572</v>
      </c>
      <c r="E253" s="47"/>
      <c r="F253" s="40">
        <v>366000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21960</v>
      </c>
      <c r="O253" s="40">
        <f>SUM(F253:N253)</f>
        <v>387960</v>
      </c>
    </row>
    <row r="254" spans="1:15" ht="12.75">
      <c r="A254" s="24"/>
      <c r="B254" s="77"/>
      <c r="C254" s="25">
        <v>10.3</v>
      </c>
      <c r="D254" s="26" t="s">
        <v>573</v>
      </c>
      <c r="E254" s="47"/>
      <c r="F254" s="40">
        <v>162000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9720</v>
      </c>
      <c r="O254" s="40">
        <f>SUM(F254:N254)</f>
        <v>171720</v>
      </c>
    </row>
  </sheetData>
  <printOptions gridLines="1"/>
  <pageMargins left="0.15748031496062992" right="0" top="0.1968503937007874" bottom="0.1968503937007874" header="0.5118110236220472" footer="0"/>
  <pageSetup horizontalDpi="600" verticalDpi="600" orientation="landscape" paperSize="9" scale="65" r:id="rId1"/>
  <headerFooter alignWithMargins="0">
    <oddFooter>&amp;R&amp;8Page &amp;P</oddFooter>
  </headerFooter>
  <rowBreaks count="1" manualBreakCount="1">
    <brk id="62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124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3.421875" style="129" customWidth="1"/>
    <col min="2" max="2" width="59.28125" style="0" customWidth="1"/>
    <col min="3" max="3" width="35.8515625" style="103" customWidth="1"/>
    <col min="4" max="4" width="13.421875" style="63" customWidth="1"/>
    <col min="5" max="5" width="13.00390625" style="0" customWidth="1"/>
    <col min="6" max="6" width="10.140625" style="0" bestFit="1" customWidth="1"/>
    <col min="7" max="7" width="9.140625" style="1" customWidth="1"/>
    <col min="10" max="10" width="9.140625" style="1" customWidth="1"/>
  </cols>
  <sheetData>
    <row r="1" spans="1:10" s="148" customFormat="1" ht="40.5" customHeight="1">
      <c r="A1" s="145"/>
      <c r="B1" s="146" t="s">
        <v>353</v>
      </c>
      <c r="C1" s="154" t="s">
        <v>676</v>
      </c>
      <c r="D1" s="147"/>
      <c r="E1" s="146"/>
      <c r="G1" s="146"/>
      <c r="J1" s="146"/>
    </row>
    <row r="2" spans="1:10" s="61" customFormat="1" ht="15">
      <c r="A2" s="126">
        <v>1</v>
      </c>
      <c r="B2" s="64" t="s">
        <v>105</v>
      </c>
      <c r="C2" s="6">
        <f>'Governance (w ES office)'!O4</f>
        <v>4273125</v>
      </c>
      <c r="D2" s="64"/>
      <c r="E2" s="64"/>
      <c r="G2" s="64"/>
      <c r="H2" s="65"/>
      <c r="I2" s="84"/>
      <c r="J2" s="64"/>
    </row>
    <row r="3" spans="1:10" s="61" customFormat="1" ht="15">
      <c r="A3" s="126">
        <v>2</v>
      </c>
      <c r="B3" s="64" t="s">
        <v>1</v>
      </c>
      <c r="C3" s="6">
        <f>'Suppor to Partn &amp; WG'!N3</f>
        <v>4395184</v>
      </c>
      <c r="D3" s="64"/>
      <c r="E3" s="64"/>
      <c r="G3" s="64"/>
      <c r="H3" s="65"/>
      <c r="I3" s="84"/>
      <c r="J3" s="64"/>
    </row>
    <row r="4" spans="1:10" s="61" customFormat="1" ht="15">
      <c r="A4" s="126">
        <v>3</v>
      </c>
      <c r="B4" s="64" t="s">
        <v>354</v>
      </c>
      <c r="C4" s="6">
        <f>'ACSM part1'!M4</f>
        <v>4314789.36</v>
      </c>
      <c r="D4" s="64"/>
      <c r="E4" s="64"/>
      <c r="G4" s="64"/>
      <c r="H4" s="65"/>
      <c r="I4" s="84"/>
      <c r="J4" s="64"/>
    </row>
    <row r="5" spans="1:10" s="61" customFormat="1" ht="15">
      <c r="A5" s="126">
        <v>4</v>
      </c>
      <c r="B5" s="64" t="s">
        <v>356</v>
      </c>
      <c r="C5" s="6">
        <f>'RES MOB.'!N3</f>
        <v>698010</v>
      </c>
      <c r="D5" s="64"/>
      <c r="E5" s="64"/>
      <c r="G5" s="64"/>
      <c r="H5" s="65"/>
      <c r="I5" s="84"/>
      <c r="J5" s="64"/>
    </row>
    <row r="6" spans="1:10" s="61" customFormat="1" ht="15">
      <c r="A6" s="126">
        <v>5</v>
      </c>
      <c r="B6" s="64" t="s">
        <v>2</v>
      </c>
      <c r="C6" s="83">
        <f>'Admin&amp;Infrast''l Support'!M3</f>
        <v>3158115.24</v>
      </c>
      <c r="D6" s="64"/>
      <c r="E6" s="64"/>
      <c r="G6" s="64"/>
      <c r="H6" s="65"/>
      <c r="I6" s="84"/>
      <c r="J6" s="64"/>
    </row>
    <row r="7" spans="1:10" s="61" customFormat="1" ht="15">
      <c r="A7" s="126"/>
      <c r="C7" s="6">
        <f>SUM(C2:C6)</f>
        <v>16839223.6</v>
      </c>
      <c r="D7" s="65"/>
      <c r="E7" s="64"/>
      <c r="G7" s="64"/>
      <c r="J7" s="64"/>
    </row>
    <row r="8" spans="1:10" s="61" customFormat="1" ht="17.25">
      <c r="A8" s="126"/>
      <c r="B8" s="153" t="s">
        <v>671</v>
      </c>
      <c r="C8" s="115">
        <v>1000000</v>
      </c>
      <c r="D8" s="65"/>
      <c r="E8" s="64"/>
      <c r="G8" s="64"/>
      <c r="J8" s="64"/>
    </row>
    <row r="9" spans="1:10" s="61" customFormat="1" ht="17.25">
      <c r="A9" s="126"/>
      <c r="B9" s="14" t="s">
        <v>60</v>
      </c>
      <c r="C9" s="115">
        <f>C7+C8</f>
        <v>17839223.6</v>
      </c>
      <c r="D9" s="65"/>
      <c r="E9" s="64"/>
      <c r="G9" s="64"/>
      <c r="J9" s="64"/>
    </row>
    <row r="10" spans="1:10" s="61" customFormat="1" ht="15.75">
      <c r="A10" s="126"/>
      <c r="B10" s="14"/>
      <c r="C10" s="6"/>
      <c r="D10" s="65"/>
      <c r="E10" s="64"/>
      <c r="G10" s="64"/>
      <c r="J10" s="64"/>
    </row>
    <row r="11" spans="1:10" s="61" customFormat="1" ht="15">
      <c r="A11" s="126">
        <v>6</v>
      </c>
      <c r="B11" s="64" t="s">
        <v>355</v>
      </c>
      <c r="C11" s="6">
        <f>GDF!O4</f>
        <v>71365998</v>
      </c>
      <c r="D11" s="64"/>
      <c r="E11" s="84"/>
      <c r="G11" s="64"/>
      <c r="J11" s="64"/>
    </row>
    <row r="12" spans="1:10" s="61" customFormat="1" ht="15">
      <c r="A12" s="126"/>
      <c r="B12" s="153" t="s">
        <v>672</v>
      </c>
      <c r="C12" s="155">
        <v>1500000</v>
      </c>
      <c r="D12" s="65"/>
      <c r="E12" s="85"/>
      <c r="G12" s="64"/>
      <c r="J12" s="64"/>
    </row>
    <row r="13" spans="1:10" s="61" customFormat="1" ht="15.75">
      <c r="A13" s="126"/>
      <c r="B13" s="14" t="s">
        <v>673</v>
      </c>
      <c r="C13" s="99">
        <f>C11+C12</f>
        <v>72865998</v>
      </c>
      <c r="D13" s="65"/>
      <c r="E13" s="64"/>
      <c r="G13" s="64"/>
      <c r="J13" s="64"/>
    </row>
    <row r="14" spans="1:10" s="61" customFormat="1" ht="15">
      <c r="A14" s="126"/>
      <c r="B14" s="64"/>
      <c r="C14" s="99"/>
      <c r="D14" s="65"/>
      <c r="E14" s="64"/>
      <c r="G14" s="64"/>
      <c r="J14" s="64"/>
    </row>
    <row r="15" spans="1:10" s="62" customFormat="1" ht="18">
      <c r="A15" s="125"/>
      <c r="B15" s="14" t="s">
        <v>357</v>
      </c>
      <c r="C15" s="114">
        <f>C9+C13</f>
        <v>90705221.6</v>
      </c>
      <c r="D15" s="65"/>
      <c r="E15" s="86"/>
      <c r="G15" s="14"/>
      <c r="J15" s="14"/>
    </row>
    <row r="16" spans="1:5" ht="12.75">
      <c r="A16" s="124"/>
      <c r="B16" s="1"/>
      <c r="C16" s="33"/>
      <c r="D16" s="82"/>
      <c r="E16" s="1"/>
    </row>
    <row r="19" spans="1:5" ht="15">
      <c r="A19" s="128"/>
      <c r="B19" s="117"/>
      <c r="C19" s="156"/>
      <c r="D19" s="140"/>
      <c r="E19" s="116"/>
    </row>
    <row r="20" spans="1:5" ht="15">
      <c r="A20" s="149"/>
      <c r="B20" s="11"/>
      <c r="C20" s="157"/>
      <c r="D20" s="119"/>
      <c r="E20" s="118"/>
    </row>
    <row r="21" spans="1:6" ht="14.25">
      <c r="A21" s="127"/>
      <c r="B21" s="118"/>
      <c r="C21" s="130"/>
      <c r="D21" s="119"/>
      <c r="E21" s="118"/>
      <c r="F21" s="31"/>
    </row>
    <row r="22" spans="1:5" ht="14.25">
      <c r="A22" s="127"/>
      <c r="B22" s="118"/>
      <c r="C22" s="119"/>
      <c r="D22" s="118"/>
      <c r="E22" s="118"/>
    </row>
    <row r="23" spans="1:5" ht="14.25">
      <c r="A23" s="127"/>
      <c r="B23" s="118"/>
      <c r="C23" s="119"/>
      <c r="D23" s="118"/>
      <c r="E23" s="118"/>
    </row>
    <row r="24" spans="1:5" ht="15">
      <c r="A24" s="149"/>
      <c r="B24" s="11"/>
      <c r="C24" s="119"/>
      <c r="D24" s="119"/>
      <c r="E24" s="118"/>
    </row>
    <row r="25" spans="1:6" ht="14.25">
      <c r="A25" s="127"/>
      <c r="B25" s="118"/>
      <c r="C25" s="119"/>
      <c r="D25" s="118"/>
      <c r="E25" s="118"/>
      <c r="F25" s="31"/>
    </row>
    <row r="26" spans="1:5" ht="14.25">
      <c r="A26" s="127"/>
      <c r="B26" s="118"/>
      <c r="C26" s="119"/>
      <c r="D26" s="118"/>
      <c r="E26" s="118"/>
    </row>
    <row r="27" spans="1:5" ht="14.25">
      <c r="A27" s="127"/>
      <c r="B27" s="118"/>
      <c r="C27" s="119"/>
      <c r="D27" s="118"/>
      <c r="E27" s="118"/>
    </row>
    <row r="28" spans="1:5" ht="15">
      <c r="A28" s="149"/>
      <c r="B28" s="11"/>
      <c r="C28" s="119"/>
      <c r="D28" s="119"/>
      <c r="E28" s="118"/>
    </row>
    <row r="29" spans="1:6" ht="14.25">
      <c r="A29" s="127"/>
      <c r="B29" s="118"/>
      <c r="C29" s="119"/>
      <c r="D29" s="118"/>
      <c r="E29" s="118"/>
      <c r="F29" s="31"/>
    </row>
    <row r="30" spans="1:5" ht="14.25">
      <c r="A30" s="127"/>
      <c r="B30" s="118"/>
      <c r="C30" s="119"/>
      <c r="D30" s="118"/>
      <c r="E30" s="118"/>
    </row>
    <row r="31" spans="1:5" ht="14.25">
      <c r="A31" s="127"/>
      <c r="B31" s="118"/>
      <c r="C31" s="119"/>
      <c r="D31" s="118"/>
      <c r="E31" s="118"/>
    </row>
    <row r="32" spans="1:5" ht="14.25">
      <c r="A32" s="127"/>
      <c r="B32" s="118"/>
      <c r="C32" s="119"/>
      <c r="D32" s="118"/>
      <c r="E32" s="118"/>
    </row>
    <row r="33" spans="1:5" ht="15">
      <c r="A33" s="149"/>
      <c r="B33" s="11"/>
      <c r="C33" s="119"/>
      <c r="D33" s="119"/>
      <c r="E33" s="118"/>
    </row>
    <row r="34" spans="1:5" ht="14.25">
      <c r="A34" s="127"/>
      <c r="B34" s="118"/>
      <c r="C34" s="119"/>
      <c r="D34" s="119"/>
      <c r="E34" s="118"/>
    </row>
    <row r="35" spans="1:5" ht="15">
      <c r="A35" s="149"/>
      <c r="B35" s="11"/>
      <c r="C35" s="120"/>
      <c r="D35" s="119"/>
      <c r="E35" s="118"/>
    </row>
    <row r="36" spans="1:6" ht="14.25">
      <c r="A36" s="127"/>
      <c r="B36" s="119"/>
      <c r="C36" s="119"/>
      <c r="D36" s="118"/>
      <c r="E36" s="118"/>
      <c r="F36" s="31"/>
    </row>
    <row r="37" spans="1:5" ht="14.25">
      <c r="A37" s="127"/>
      <c r="B37" s="118"/>
      <c r="C37" s="119"/>
      <c r="D37" s="118"/>
      <c r="E37" s="118"/>
    </row>
    <row r="38" spans="1:5" ht="14.25">
      <c r="A38" s="127"/>
      <c r="B38" s="118"/>
      <c r="C38" s="119"/>
      <c r="D38" s="118"/>
      <c r="E38" s="118"/>
    </row>
    <row r="39" spans="1:5" ht="14.25">
      <c r="A39" s="137"/>
      <c r="B39" s="118"/>
      <c r="C39" s="119"/>
      <c r="D39" s="139"/>
      <c r="E39" s="118"/>
    </row>
    <row r="40" spans="1:5" ht="14.25">
      <c r="A40" s="137"/>
      <c r="B40" s="118"/>
      <c r="C40" s="119"/>
      <c r="D40" s="118"/>
      <c r="E40" s="118"/>
    </row>
    <row r="41" spans="1:5" ht="16.5">
      <c r="A41" s="127"/>
      <c r="B41" s="121"/>
      <c r="C41" s="122"/>
      <c r="D41" s="144"/>
      <c r="E41" s="118"/>
    </row>
    <row r="42" spans="1:5" ht="14.25">
      <c r="A42" s="127"/>
      <c r="B42" s="118"/>
      <c r="C42" s="119"/>
      <c r="D42" s="131"/>
      <c r="E42" s="118"/>
    </row>
    <row r="43" spans="1:5" ht="16.5">
      <c r="A43" s="149"/>
      <c r="B43" s="11"/>
      <c r="C43" s="122"/>
      <c r="D43" s="144"/>
      <c r="E43" s="132"/>
    </row>
    <row r="44" spans="1:6" ht="14.25">
      <c r="A44" s="127"/>
      <c r="B44" s="118"/>
      <c r="C44" s="142"/>
      <c r="D44" s="131"/>
      <c r="E44" s="133"/>
      <c r="F44" s="31"/>
    </row>
    <row r="45" spans="1:5" ht="14.25">
      <c r="A45" s="127"/>
      <c r="B45" s="118"/>
      <c r="C45" s="142"/>
      <c r="D45" s="131"/>
      <c r="E45" s="118"/>
    </row>
    <row r="46" spans="1:5" ht="14.25">
      <c r="A46" s="127"/>
      <c r="B46" s="118"/>
      <c r="C46" s="142"/>
      <c r="D46" s="131"/>
      <c r="E46" s="118"/>
    </row>
    <row r="47" spans="1:5" ht="15">
      <c r="A47" s="127"/>
      <c r="B47" s="118"/>
      <c r="C47" s="141"/>
      <c r="D47" s="131"/>
      <c r="E47" s="118"/>
    </row>
    <row r="48" spans="1:5" ht="17.25">
      <c r="A48" s="128"/>
      <c r="B48" s="121"/>
      <c r="C48" s="123"/>
      <c r="D48" s="143"/>
      <c r="E48" s="134"/>
    </row>
    <row r="49" spans="1:5" ht="15">
      <c r="A49" s="127"/>
      <c r="B49" s="118"/>
      <c r="C49" s="141"/>
      <c r="D49" s="131"/>
      <c r="E49" s="118"/>
    </row>
    <row r="50" spans="1:5" ht="15">
      <c r="A50" s="135"/>
      <c r="B50" s="88"/>
      <c r="C50" s="157"/>
      <c r="D50" s="136"/>
      <c r="E50" s="88"/>
    </row>
    <row r="51" spans="1:5" ht="15">
      <c r="A51" s="128"/>
      <c r="B51" s="117"/>
      <c r="C51" s="156"/>
      <c r="D51" s="140"/>
      <c r="E51" s="88"/>
    </row>
    <row r="52" spans="1:5" ht="15">
      <c r="A52" s="149"/>
      <c r="B52" s="11"/>
      <c r="C52" s="157"/>
      <c r="D52" s="119"/>
      <c r="E52" s="88"/>
    </row>
    <row r="53" spans="1:5" ht="15">
      <c r="A53" s="127"/>
      <c r="B53" s="11"/>
      <c r="C53" s="130"/>
      <c r="D53" s="119"/>
      <c r="E53" s="88"/>
    </row>
    <row r="54" spans="1:5" ht="14.25">
      <c r="A54" s="127"/>
      <c r="B54" s="130"/>
      <c r="D54" s="119"/>
      <c r="E54" s="88"/>
    </row>
    <row r="55" spans="1:5" ht="14.25">
      <c r="A55" s="127"/>
      <c r="B55" s="119"/>
      <c r="C55" s="130"/>
      <c r="D55" s="119"/>
      <c r="E55" s="88"/>
    </row>
    <row r="56" spans="1:5" ht="14.25">
      <c r="A56" s="127"/>
      <c r="B56" s="118"/>
      <c r="C56" s="119"/>
      <c r="D56" s="118"/>
      <c r="E56" s="88"/>
    </row>
    <row r="57" spans="1:5" ht="14.25">
      <c r="A57" s="127"/>
      <c r="B57" s="118"/>
      <c r="C57" s="119"/>
      <c r="D57" s="118"/>
      <c r="E57" s="88"/>
    </row>
    <row r="58" spans="1:5" ht="14.25">
      <c r="A58" s="127"/>
      <c r="B58" s="118"/>
      <c r="C58" s="119"/>
      <c r="D58" s="118"/>
      <c r="E58" s="88"/>
    </row>
    <row r="59" spans="1:5" ht="14.25">
      <c r="A59" s="127"/>
      <c r="B59" s="118"/>
      <c r="C59" s="119"/>
      <c r="D59" s="118"/>
      <c r="E59" s="88"/>
    </row>
    <row r="60" spans="1:5" ht="15">
      <c r="A60" s="127"/>
      <c r="B60" s="11"/>
      <c r="C60" s="119"/>
      <c r="D60" s="118"/>
      <c r="E60" s="88"/>
    </row>
    <row r="61" spans="1:5" ht="14.25">
      <c r="A61" s="127"/>
      <c r="B61" s="118"/>
      <c r="C61" s="119"/>
      <c r="D61" s="118"/>
      <c r="E61" s="88"/>
    </row>
    <row r="62" spans="1:5" ht="14.25">
      <c r="A62" s="127"/>
      <c r="B62" s="118"/>
      <c r="C62" s="119"/>
      <c r="D62" s="118"/>
      <c r="E62" s="88"/>
    </row>
    <row r="63" spans="1:5" ht="14.25">
      <c r="A63" s="127"/>
      <c r="B63" s="118"/>
      <c r="C63" s="119"/>
      <c r="D63" s="118"/>
      <c r="E63" s="88"/>
    </row>
    <row r="64" spans="1:5" ht="15">
      <c r="A64" s="149"/>
      <c r="B64" s="11"/>
      <c r="C64" s="119"/>
      <c r="D64" s="118"/>
      <c r="E64" s="88"/>
    </row>
    <row r="65" spans="1:5" ht="15">
      <c r="A65" s="149"/>
      <c r="B65" s="11"/>
      <c r="C65" s="119"/>
      <c r="D65" s="118"/>
      <c r="E65" s="88"/>
    </row>
    <row r="66" spans="1:5" ht="14.25">
      <c r="A66" s="127"/>
      <c r="B66" s="118"/>
      <c r="C66" s="119"/>
      <c r="D66" s="118"/>
      <c r="E66" s="88"/>
    </row>
    <row r="67" spans="1:5" ht="14.25">
      <c r="A67" s="127"/>
      <c r="B67" s="118"/>
      <c r="C67" s="119"/>
      <c r="D67" s="118"/>
      <c r="E67" s="88"/>
    </row>
    <row r="68" spans="1:5" ht="14.25">
      <c r="A68" s="127"/>
      <c r="B68" s="118"/>
      <c r="C68" s="119"/>
      <c r="D68" s="118"/>
      <c r="E68" s="88"/>
    </row>
    <row r="69" spans="1:5" ht="15">
      <c r="A69" s="149"/>
      <c r="B69" s="29"/>
      <c r="C69" s="119"/>
      <c r="D69" s="119"/>
      <c r="E69" s="88"/>
    </row>
    <row r="70" spans="1:5" ht="14.25">
      <c r="A70" s="127"/>
      <c r="B70" s="118"/>
      <c r="C70" s="119"/>
      <c r="D70" s="118"/>
      <c r="E70" s="88"/>
    </row>
    <row r="71" spans="1:5" ht="14.25">
      <c r="A71" s="127"/>
      <c r="B71" s="118"/>
      <c r="D71" s="118"/>
      <c r="E71" s="88"/>
    </row>
    <row r="72" spans="1:5" ht="14.25">
      <c r="A72" s="127"/>
      <c r="B72" s="118"/>
      <c r="C72" s="119"/>
      <c r="D72" s="118"/>
      <c r="E72" s="88"/>
    </row>
    <row r="73" spans="1:5" ht="15">
      <c r="A73" s="127"/>
      <c r="B73" s="11"/>
      <c r="C73" s="119"/>
      <c r="D73" s="118"/>
      <c r="E73" s="88"/>
    </row>
    <row r="74" spans="1:5" ht="15">
      <c r="A74" s="127"/>
      <c r="B74" s="11"/>
      <c r="C74" s="119"/>
      <c r="D74" s="118"/>
      <c r="E74" s="88"/>
    </row>
    <row r="75" spans="1:5" ht="15">
      <c r="A75" s="127"/>
      <c r="B75" s="11"/>
      <c r="C75" s="119"/>
      <c r="D75" s="118"/>
      <c r="E75" s="88"/>
    </row>
    <row r="76" spans="1:5" ht="15">
      <c r="A76" s="127"/>
      <c r="B76" s="11"/>
      <c r="C76" s="119"/>
      <c r="D76" s="118"/>
      <c r="E76" s="88"/>
    </row>
    <row r="77" spans="1:5" ht="15">
      <c r="A77" s="127"/>
      <c r="B77" s="11"/>
      <c r="C77" s="119"/>
      <c r="D77" s="118"/>
      <c r="E77" s="88"/>
    </row>
    <row r="78" spans="1:5" ht="12.75" customHeight="1">
      <c r="A78" s="149"/>
      <c r="B78" s="11"/>
      <c r="C78" s="119"/>
      <c r="D78" s="119"/>
      <c r="E78" s="88"/>
    </row>
    <row r="79" spans="1:5" ht="14.25">
      <c r="A79" s="127"/>
      <c r="B79" s="118"/>
      <c r="C79" s="119"/>
      <c r="D79" s="118"/>
      <c r="E79" s="88"/>
    </row>
    <row r="80" spans="1:5" ht="14.25">
      <c r="A80" s="127"/>
      <c r="B80" s="118"/>
      <c r="C80" s="119"/>
      <c r="D80" s="118"/>
      <c r="E80" s="88"/>
    </row>
    <row r="81" spans="1:5" ht="14.25">
      <c r="A81" s="127"/>
      <c r="B81" s="118"/>
      <c r="C81" s="119"/>
      <c r="D81" s="118"/>
      <c r="E81" s="88"/>
    </row>
    <row r="82" spans="1:5" ht="14.25">
      <c r="A82" s="127"/>
      <c r="B82" s="118"/>
      <c r="C82" s="119"/>
      <c r="D82" s="118"/>
      <c r="E82" s="88"/>
    </row>
    <row r="83" spans="1:5" ht="15">
      <c r="A83" s="149"/>
      <c r="B83" s="11"/>
      <c r="C83" s="119"/>
      <c r="D83" s="119"/>
      <c r="E83" s="88"/>
    </row>
    <row r="84" spans="1:5" ht="14.25">
      <c r="A84" s="127"/>
      <c r="B84" s="118"/>
      <c r="C84" s="119"/>
      <c r="D84" s="119"/>
      <c r="E84" s="88"/>
    </row>
    <row r="85" spans="1:5" ht="15">
      <c r="A85" s="149"/>
      <c r="B85" s="11"/>
      <c r="C85" s="120"/>
      <c r="D85" s="119"/>
      <c r="E85" s="88"/>
    </row>
    <row r="86" spans="1:5" ht="14.25">
      <c r="A86" s="127"/>
      <c r="B86" s="119"/>
      <c r="C86" s="119"/>
      <c r="D86" s="118"/>
      <c r="E86" s="88"/>
    </row>
    <row r="87" spans="1:5" ht="14.25">
      <c r="A87" s="127"/>
      <c r="B87" s="118"/>
      <c r="C87" s="119"/>
      <c r="D87" s="118"/>
      <c r="E87" s="88"/>
    </row>
    <row r="88" spans="1:5" ht="14.25">
      <c r="A88" s="127"/>
      <c r="B88" s="118"/>
      <c r="C88" s="119"/>
      <c r="D88" s="118"/>
      <c r="E88" s="88"/>
    </row>
    <row r="89" spans="1:5" ht="14.25">
      <c r="A89" s="137"/>
      <c r="B89" s="118"/>
      <c r="C89" s="119"/>
      <c r="D89" s="139"/>
      <c r="E89" s="88"/>
    </row>
    <row r="90" spans="1:5" ht="14.25">
      <c r="A90" s="137"/>
      <c r="B90" s="118"/>
      <c r="C90" s="119"/>
      <c r="D90" s="118"/>
      <c r="E90" s="88"/>
    </row>
    <row r="91" spans="1:5" ht="16.5">
      <c r="A91" s="127"/>
      <c r="B91" s="121"/>
      <c r="C91" s="122"/>
      <c r="D91" s="144"/>
      <c r="E91" s="88"/>
    </row>
    <row r="92" spans="1:5" ht="14.25">
      <c r="A92" s="127"/>
      <c r="B92" s="118"/>
      <c r="C92" s="119"/>
      <c r="D92" s="131"/>
      <c r="E92" s="88"/>
    </row>
    <row r="93" spans="1:5" ht="16.5">
      <c r="A93" s="149"/>
      <c r="B93" s="11"/>
      <c r="C93" s="122"/>
      <c r="D93" s="144"/>
      <c r="E93" s="88"/>
    </row>
    <row r="94" spans="1:5" ht="14.25">
      <c r="A94" s="127"/>
      <c r="B94" s="118"/>
      <c r="C94" s="142"/>
      <c r="D94" s="131"/>
      <c r="E94" s="88"/>
    </row>
    <row r="95" spans="1:5" ht="14.25">
      <c r="A95" s="127"/>
      <c r="B95" s="118"/>
      <c r="C95" s="142"/>
      <c r="D95" s="131"/>
      <c r="E95" s="88"/>
    </row>
    <row r="96" spans="1:5" ht="14.25">
      <c r="A96" s="127"/>
      <c r="B96" s="118"/>
      <c r="C96" s="142"/>
      <c r="D96" s="131"/>
      <c r="E96" s="88"/>
    </row>
    <row r="97" spans="1:5" ht="15">
      <c r="A97" s="127"/>
      <c r="B97" s="118"/>
      <c r="C97" s="141"/>
      <c r="D97" s="131"/>
      <c r="E97" s="88"/>
    </row>
    <row r="98" spans="1:5" ht="17.25">
      <c r="A98" s="128"/>
      <c r="B98" s="121"/>
      <c r="C98" s="123"/>
      <c r="D98" s="143"/>
      <c r="E98" s="88"/>
    </row>
    <row r="99" spans="1:5" ht="15">
      <c r="A99" s="135"/>
      <c r="B99" s="88"/>
      <c r="C99" s="157"/>
      <c r="D99" s="136"/>
      <c r="E99" s="88"/>
    </row>
    <row r="100" spans="1:5" ht="15">
      <c r="A100" s="135"/>
      <c r="B100" s="88"/>
      <c r="C100" s="157"/>
      <c r="D100" s="136"/>
      <c r="E100" s="88"/>
    </row>
    <row r="101" spans="1:5" ht="15">
      <c r="A101" s="135"/>
      <c r="B101" s="88"/>
      <c r="C101" s="157"/>
      <c r="D101" s="136"/>
      <c r="E101" s="88"/>
    </row>
    <row r="102" spans="1:5" ht="15">
      <c r="A102" s="135"/>
      <c r="B102" s="88"/>
      <c r="C102" s="157"/>
      <c r="D102" s="136"/>
      <c r="E102" s="88"/>
    </row>
    <row r="103" spans="1:5" ht="15">
      <c r="A103" s="135"/>
      <c r="B103" s="88"/>
      <c r="C103" s="157"/>
      <c r="D103" s="136"/>
      <c r="E103" s="88"/>
    </row>
    <row r="104" spans="1:5" ht="15">
      <c r="A104" s="135"/>
      <c r="B104" s="88"/>
      <c r="C104" s="157"/>
      <c r="D104" s="136"/>
      <c r="E104" s="88"/>
    </row>
    <row r="105" spans="1:5" ht="15">
      <c r="A105" s="135"/>
      <c r="B105" s="88"/>
      <c r="C105" s="157"/>
      <c r="D105" s="136"/>
      <c r="E105" s="88"/>
    </row>
    <row r="106" spans="1:5" ht="15">
      <c r="A106" s="135"/>
      <c r="B106" s="88"/>
      <c r="C106" s="157"/>
      <c r="D106" s="136"/>
      <c r="E106" s="88"/>
    </row>
    <row r="107" spans="1:5" ht="15">
      <c r="A107" s="135"/>
      <c r="B107" s="88"/>
      <c r="C107" s="157"/>
      <c r="D107" s="136"/>
      <c r="E107" s="88"/>
    </row>
    <row r="108" spans="1:5" ht="15">
      <c r="A108" s="135"/>
      <c r="B108" s="88"/>
      <c r="C108" s="157"/>
      <c r="D108" s="136"/>
      <c r="E108" s="88"/>
    </row>
    <row r="109" spans="1:5" ht="15">
      <c r="A109" s="135"/>
      <c r="B109" s="88"/>
      <c r="C109" s="157"/>
      <c r="D109" s="136"/>
      <c r="E109" s="88"/>
    </row>
    <row r="110" spans="1:5" ht="15">
      <c r="A110" s="135"/>
      <c r="B110" s="88"/>
      <c r="C110" s="157"/>
      <c r="D110" s="136"/>
      <c r="E110" s="88"/>
    </row>
    <row r="111" spans="1:5" ht="15">
      <c r="A111" s="135"/>
      <c r="B111" s="88"/>
      <c r="C111" s="157"/>
      <c r="D111" s="136"/>
      <c r="E111" s="88"/>
    </row>
    <row r="112" spans="1:5" ht="15">
      <c r="A112" s="135"/>
      <c r="B112" s="88"/>
      <c r="C112" s="157"/>
      <c r="D112" s="136"/>
      <c r="E112" s="88"/>
    </row>
    <row r="113" spans="1:5" ht="15">
      <c r="A113" s="135"/>
      <c r="B113" s="88"/>
      <c r="C113" s="157"/>
      <c r="D113" s="136"/>
      <c r="E113" s="88"/>
    </row>
    <row r="114" spans="1:5" ht="15">
      <c r="A114" s="135"/>
      <c r="B114" s="88"/>
      <c r="C114" s="157"/>
      <c r="D114" s="136"/>
      <c r="E114" s="88"/>
    </row>
    <row r="115" spans="1:5" ht="15">
      <c r="A115" s="135"/>
      <c r="B115" s="88"/>
      <c r="C115" s="157"/>
      <c r="D115" s="136"/>
      <c r="E115" s="88"/>
    </row>
    <row r="116" spans="1:5" ht="15">
      <c r="A116" s="135"/>
      <c r="B116" s="88"/>
      <c r="C116" s="157"/>
      <c r="D116" s="136"/>
      <c r="E116" s="88"/>
    </row>
    <row r="117" spans="1:5" ht="15">
      <c r="A117" s="135"/>
      <c r="B117" s="88"/>
      <c r="C117" s="157"/>
      <c r="D117" s="136"/>
      <c r="E117" s="88"/>
    </row>
    <row r="118" spans="1:5" ht="15">
      <c r="A118" s="135"/>
      <c r="B118" s="88"/>
      <c r="C118" s="157"/>
      <c r="D118" s="136"/>
      <c r="E118" s="88"/>
    </row>
    <row r="119" spans="1:5" ht="15">
      <c r="A119" s="135"/>
      <c r="B119" s="88"/>
      <c r="C119" s="157"/>
      <c r="D119" s="136"/>
      <c r="E119" s="88"/>
    </row>
    <row r="120" spans="1:5" ht="15">
      <c r="A120" s="135"/>
      <c r="B120" s="88"/>
      <c r="C120" s="157"/>
      <c r="D120" s="136"/>
      <c r="E120" s="88"/>
    </row>
    <row r="121" spans="1:5" ht="15">
      <c r="A121" s="135"/>
      <c r="B121" s="88"/>
      <c r="C121" s="157"/>
      <c r="D121" s="136"/>
      <c r="E121" s="88"/>
    </row>
    <row r="122" spans="1:5" ht="15">
      <c r="A122" s="135"/>
      <c r="B122" s="88"/>
      <c r="C122" s="157"/>
      <c r="D122" s="136"/>
      <c r="E122" s="88"/>
    </row>
    <row r="123" spans="1:5" ht="15">
      <c r="A123" s="135"/>
      <c r="B123" s="88"/>
      <c r="C123" s="157"/>
      <c r="D123" s="136"/>
      <c r="E123" s="88"/>
    </row>
    <row r="124" spans="1:5" ht="15">
      <c r="A124" s="135"/>
      <c r="B124" s="88"/>
      <c r="C124" s="157"/>
      <c r="D124" s="136"/>
      <c r="E124" s="88"/>
    </row>
  </sheetData>
  <printOptions gridLines="1" horizontalCentered="1"/>
  <pageMargins left="0.7480314960629921" right="0.7480314960629921" top="1.31" bottom="0.984251968503937" header="0.5118110236220472" footer="0.5118110236220472"/>
  <pageSetup horizontalDpi="600" verticalDpi="600" orientation="portrait" paperSize="9" scale="85" r:id="rId1"/>
  <headerFooter alignWithMargins="0">
    <oddHeader>&amp;C&amp;"Times New Roman,Bold"&amp;12Stop TB Partnership Secretariat
Work plan 2006-2007
FINANCIAL SUMMARY&amp;R&amp;8Schedule 1</oddHeader>
    <oddFooter>&amp;R Page &amp;P</oddFooter>
  </headerFooter>
  <rowBreaks count="1" manualBreakCount="1">
    <brk id="1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H42"/>
  <sheetViews>
    <sheetView zoomScaleSheetLayoutView="75" workbookViewId="0" topLeftCell="A1">
      <selection activeCell="B21" sqref="B21"/>
    </sheetView>
  </sheetViews>
  <sheetFormatPr defaultColWidth="9.140625" defaultRowHeight="12.75"/>
  <cols>
    <col min="1" max="1" width="6.8515625" style="0" customWidth="1"/>
    <col min="2" max="2" width="60.140625" style="0" customWidth="1"/>
    <col min="3" max="3" width="18.140625" style="31" customWidth="1"/>
    <col min="4" max="4" width="24.28125" style="31" customWidth="1"/>
    <col min="5" max="5" width="20.140625" style="31" customWidth="1"/>
    <col min="6" max="6" width="15.7109375" style="31" customWidth="1"/>
    <col min="8" max="8" width="11.57421875" style="0" bestFit="1" customWidth="1"/>
  </cols>
  <sheetData>
    <row r="1" spans="1:6" ht="15">
      <c r="A1" s="158"/>
      <c r="B1" s="11" t="s">
        <v>683</v>
      </c>
      <c r="C1" s="5"/>
      <c r="D1" s="142"/>
      <c r="E1" s="142"/>
      <c r="F1" s="57"/>
    </row>
    <row r="2" spans="1:6" ht="15">
      <c r="A2" s="158"/>
      <c r="B2" s="29" t="s">
        <v>680</v>
      </c>
      <c r="C2" s="167">
        <v>15203296</v>
      </c>
      <c r="D2" s="142"/>
      <c r="E2" s="142"/>
      <c r="F2" s="57"/>
    </row>
    <row r="3" spans="1:6" ht="14.25">
      <c r="A3" s="159"/>
      <c r="B3" t="s">
        <v>681</v>
      </c>
      <c r="C3" s="168">
        <v>68715000</v>
      </c>
      <c r="D3" s="142"/>
      <c r="E3" s="142"/>
      <c r="F3" s="57"/>
    </row>
    <row r="4" spans="1:6" ht="15">
      <c r="A4" s="159"/>
      <c r="B4" s="2" t="s">
        <v>682</v>
      </c>
      <c r="C4" s="166">
        <f>SUM(C2:C3)</f>
        <v>83918296</v>
      </c>
      <c r="D4" s="142"/>
      <c r="E4" s="142"/>
      <c r="F4" s="57"/>
    </row>
    <row r="5" spans="1:6" ht="14.25">
      <c r="A5" s="159"/>
      <c r="C5" s="167"/>
      <c r="D5" s="142"/>
      <c r="E5" s="142"/>
      <c r="F5" s="57"/>
    </row>
    <row r="6" spans="1:6" s="165" customFormat="1" ht="30">
      <c r="A6" s="160"/>
      <c r="B6" s="160" t="s">
        <v>653</v>
      </c>
      <c r="C6" s="161" t="s">
        <v>664</v>
      </c>
      <c r="D6" s="161" t="s">
        <v>677</v>
      </c>
      <c r="E6" s="161" t="s">
        <v>678</v>
      </c>
      <c r="F6" s="164" t="s">
        <v>679</v>
      </c>
    </row>
    <row r="7" spans="1:6" ht="15">
      <c r="A7" s="149" t="s">
        <v>654</v>
      </c>
      <c r="B7" s="11" t="s">
        <v>105</v>
      </c>
      <c r="C7" s="142"/>
      <c r="D7" s="142">
        <v>4273125</v>
      </c>
      <c r="E7" s="142">
        <v>4273125</v>
      </c>
      <c r="F7" s="57">
        <f>D7-E7</f>
        <v>0</v>
      </c>
    </row>
    <row r="8" spans="1:6" ht="14.25">
      <c r="A8" s="159"/>
      <c r="B8" s="29" t="s">
        <v>662</v>
      </c>
      <c r="C8" s="142">
        <v>2156040</v>
      </c>
      <c r="D8" s="142"/>
      <c r="E8" s="142"/>
      <c r="F8" s="57"/>
    </row>
    <row r="9" spans="1:6" ht="14.25">
      <c r="A9" s="159"/>
      <c r="B9" s="29" t="s">
        <v>663</v>
      </c>
      <c r="C9" s="142">
        <v>2117085</v>
      </c>
      <c r="D9" s="142"/>
      <c r="E9" s="142"/>
      <c r="F9" s="57"/>
    </row>
    <row r="10" spans="1:6" ht="14.25">
      <c r="A10" s="159"/>
      <c r="B10" s="29"/>
      <c r="C10" s="142"/>
      <c r="D10" s="142"/>
      <c r="E10" s="142"/>
      <c r="F10" s="57"/>
    </row>
    <row r="11" spans="1:7" ht="15">
      <c r="A11" s="149" t="s">
        <v>655</v>
      </c>
      <c r="B11" s="11" t="s">
        <v>1</v>
      </c>
      <c r="C11" s="144"/>
      <c r="D11" s="142">
        <v>4395184</v>
      </c>
      <c r="E11" s="142">
        <v>2059257</v>
      </c>
      <c r="F11" s="57">
        <f>D11-E11</f>
        <v>2335927</v>
      </c>
      <c r="G11" s="31"/>
    </row>
    <row r="12" spans="1:6" ht="14.25">
      <c r="A12" s="159"/>
      <c r="B12" s="38" t="s">
        <v>6</v>
      </c>
      <c r="C12" s="142">
        <v>1124024</v>
      </c>
      <c r="D12" s="142"/>
      <c r="E12" s="142"/>
      <c r="F12" s="57"/>
    </row>
    <row r="13" spans="1:6" ht="14.25">
      <c r="A13" s="159"/>
      <c r="B13" s="29" t="s">
        <v>14</v>
      </c>
      <c r="C13" s="142">
        <v>3271160</v>
      </c>
      <c r="D13" s="142"/>
      <c r="E13" s="142"/>
      <c r="F13" s="57"/>
    </row>
    <row r="14" spans="1:6" ht="16.5">
      <c r="A14" s="159"/>
      <c r="B14" s="11"/>
      <c r="C14" s="162"/>
      <c r="D14" s="142"/>
      <c r="E14" s="142"/>
      <c r="F14" s="57"/>
    </row>
    <row r="15" spans="1:6" ht="15">
      <c r="A15" s="149" t="s">
        <v>656</v>
      </c>
      <c r="B15" s="11" t="s">
        <v>354</v>
      </c>
      <c r="C15" s="142"/>
      <c r="D15" s="142">
        <v>4314789.36</v>
      </c>
      <c r="E15" s="142">
        <v>4314789.36</v>
      </c>
      <c r="F15" s="57">
        <f>D15-E15</f>
        <v>0</v>
      </c>
    </row>
    <row r="16" spans="1:6" ht="14.25">
      <c r="A16" s="159"/>
      <c r="B16" s="29" t="s">
        <v>328</v>
      </c>
      <c r="C16" s="142">
        <v>1961000</v>
      </c>
      <c r="D16" s="142"/>
      <c r="E16" s="142"/>
      <c r="F16" s="57"/>
    </row>
    <row r="17" spans="1:6" ht="14.25">
      <c r="A17" s="159"/>
      <c r="B17" s="29" t="s">
        <v>329</v>
      </c>
      <c r="C17" s="142">
        <v>1765960</v>
      </c>
      <c r="D17" s="142"/>
      <c r="E17" s="142"/>
      <c r="F17" s="57"/>
    </row>
    <row r="18" spans="1:6" ht="14.25">
      <c r="A18" s="159"/>
      <c r="B18" s="29" t="s">
        <v>41</v>
      </c>
      <c r="C18" s="142">
        <v>587829.36</v>
      </c>
      <c r="D18" s="142"/>
      <c r="E18" s="142"/>
      <c r="F18" s="57"/>
    </row>
    <row r="19" spans="1:6" ht="14.25">
      <c r="A19" s="159"/>
      <c r="B19" s="29"/>
      <c r="C19" s="142"/>
      <c r="D19" s="142"/>
      <c r="E19" s="142"/>
      <c r="F19" s="57"/>
    </row>
    <row r="20" spans="1:6" ht="17.25">
      <c r="A20" s="149" t="s">
        <v>657</v>
      </c>
      <c r="B20" s="11" t="s">
        <v>356</v>
      </c>
      <c r="C20" s="143"/>
      <c r="D20" s="142">
        <v>698010</v>
      </c>
      <c r="E20" s="142">
        <v>698010</v>
      </c>
      <c r="F20" s="57">
        <f>D20-E20</f>
        <v>0</v>
      </c>
    </row>
    <row r="21" spans="1:6" ht="15">
      <c r="A21" s="159"/>
      <c r="B21" s="29"/>
      <c r="C21" s="5"/>
      <c r="D21" s="142"/>
      <c r="E21" s="142"/>
      <c r="F21" s="57"/>
    </row>
    <row r="22" spans="1:6" ht="15">
      <c r="A22" s="149" t="s">
        <v>658</v>
      </c>
      <c r="B22" s="11" t="s">
        <v>2</v>
      </c>
      <c r="C22" s="56"/>
      <c r="D22" s="163">
        <v>3158115.24</v>
      </c>
      <c r="E22" s="57">
        <v>3158115</v>
      </c>
      <c r="F22" s="57">
        <f>D22-E22</f>
        <v>0.24000000022351742</v>
      </c>
    </row>
    <row r="23" spans="1:6" ht="14.25">
      <c r="A23" s="38"/>
      <c r="B23" s="38" t="s">
        <v>345</v>
      </c>
      <c r="C23" s="57">
        <v>159000</v>
      </c>
      <c r="D23" s="57"/>
      <c r="E23" s="57"/>
      <c r="F23" s="57"/>
    </row>
    <row r="24" spans="1:6" ht="14.25">
      <c r="A24" s="38"/>
      <c r="B24" s="38" t="s">
        <v>347</v>
      </c>
      <c r="C24" s="57">
        <v>159000</v>
      </c>
      <c r="D24" s="57"/>
      <c r="E24" s="57"/>
      <c r="F24" s="57"/>
    </row>
    <row r="25" spans="1:6" ht="14.25">
      <c r="A25" s="38"/>
      <c r="B25" s="38" t="s">
        <v>352</v>
      </c>
      <c r="C25" s="57">
        <v>2279000</v>
      </c>
      <c r="D25" s="57"/>
      <c r="E25" s="57"/>
      <c r="F25" s="57"/>
    </row>
    <row r="26" spans="1:6" ht="14.25">
      <c r="A26" s="38"/>
      <c r="B26" s="38" t="s">
        <v>348</v>
      </c>
      <c r="C26" s="57">
        <v>561115.24</v>
      </c>
      <c r="D26" s="57"/>
      <c r="E26" s="57"/>
      <c r="F26" s="57"/>
    </row>
    <row r="27" spans="1:6" ht="14.25">
      <c r="A27" s="38"/>
      <c r="B27" s="38"/>
      <c r="C27" s="57"/>
      <c r="D27" s="57"/>
      <c r="E27" s="57"/>
      <c r="F27" s="57"/>
    </row>
    <row r="28" spans="1:6" ht="14.25">
      <c r="A28" s="38"/>
      <c r="B28" s="38" t="s">
        <v>675</v>
      </c>
      <c r="C28" s="57"/>
      <c r="D28" s="57">
        <f>D7+D11+D15+D20+D22</f>
        <v>16839223.6</v>
      </c>
      <c r="E28" s="57">
        <f>E7+E11+E15+E20+E22</f>
        <v>14503296.36</v>
      </c>
      <c r="F28" s="57">
        <f>D28-E28</f>
        <v>2335927.240000002</v>
      </c>
    </row>
    <row r="29" spans="1:6" ht="14.25">
      <c r="A29" s="38"/>
      <c r="B29" s="38" t="s">
        <v>674</v>
      </c>
      <c r="C29" s="57"/>
      <c r="D29" s="163">
        <v>1000000</v>
      </c>
      <c r="E29" s="163">
        <v>700000</v>
      </c>
      <c r="F29" s="163">
        <f>D29-E29</f>
        <v>300000</v>
      </c>
    </row>
    <row r="30" spans="1:8" ht="15">
      <c r="A30" s="38"/>
      <c r="B30" s="35" t="s">
        <v>60</v>
      </c>
      <c r="C30" s="57"/>
      <c r="D30" s="57">
        <f>D28+D29</f>
        <v>17839223.6</v>
      </c>
      <c r="E30" s="57">
        <f>E28+E29</f>
        <v>15203296.36</v>
      </c>
      <c r="F30" s="57">
        <f>D30-E30</f>
        <v>2635927.240000002</v>
      </c>
      <c r="H30" s="31"/>
    </row>
    <row r="31" spans="1:6" ht="14.25">
      <c r="A31" s="38"/>
      <c r="B31" s="38"/>
      <c r="C31" s="57"/>
      <c r="D31" s="57"/>
      <c r="E31" s="57"/>
      <c r="F31" s="57"/>
    </row>
    <row r="32" spans="1:6" ht="15">
      <c r="A32" s="149" t="s">
        <v>659</v>
      </c>
      <c r="B32" s="11" t="s">
        <v>355</v>
      </c>
      <c r="C32" s="57"/>
      <c r="D32" s="57">
        <v>71365998</v>
      </c>
      <c r="E32" s="57">
        <v>67715000</v>
      </c>
      <c r="F32" s="57">
        <f>D32-E32</f>
        <v>3650998</v>
      </c>
    </row>
    <row r="33" spans="1:6" ht="14.25">
      <c r="A33" s="38"/>
      <c r="B33" s="38" t="s">
        <v>47</v>
      </c>
      <c r="C33" s="57">
        <v>2851612</v>
      </c>
      <c r="D33" s="57"/>
      <c r="E33" s="57"/>
      <c r="F33" s="57"/>
    </row>
    <row r="34" spans="1:6" ht="14.25">
      <c r="A34" s="38"/>
      <c r="B34" s="38" t="s">
        <v>48</v>
      </c>
      <c r="C34" s="57">
        <v>65416006</v>
      </c>
      <c r="D34" s="57"/>
      <c r="E34" s="57"/>
      <c r="F34" s="57"/>
    </row>
    <row r="35" spans="1:6" ht="14.25">
      <c r="A35" s="38"/>
      <c r="B35" s="38" t="s">
        <v>665</v>
      </c>
      <c r="C35" s="57">
        <v>3098380</v>
      </c>
      <c r="D35" s="57"/>
      <c r="E35" s="57"/>
      <c r="F35" s="57"/>
    </row>
    <row r="36" spans="1:6" ht="14.25">
      <c r="A36" s="38"/>
      <c r="B36" s="38" t="s">
        <v>670</v>
      </c>
      <c r="C36" s="57"/>
      <c r="D36" s="163">
        <v>1500000</v>
      </c>
      <c r="E36" s="163">
        <v>1000000</v>
      </c>
      <c r="F36" s="163">
        <f>D36-E36</f>
        <v>500000</v>
      </c>
    </row>
    <row r="37" spans="1:8" ht="15">
      <c r="A37" s="38"/>
      <c r="B37" s="35" t="s">
        <v>673</v>
      </c>
      <c r="C37" s="57"/>
      <c r="D37" s="57">
        <f>D32+D36</f>
        <v>72865998</v>
      </c>
      <c r="E37" s="57">
        <f>E32+E36</f>
        <v>68715000</v>
      </c>
      <c r="F37" s="57">
        <f>D37-E37</f>
        <v>4150998</v>
      </c>
      <c r="H37" s="31"/>
    </row>
    <row r="38" spans="1:6" ht="14.25">
      <c r="A38" s="38"/>
      <c r="B38" s="38"/>
      <c r="C38" s="57"/>
      <c r="D38" s="57"/>
      <c r="E38" s="57"/>
      <c r="F38" s="57"/>
    </row>
    <row r="39" spans="1:8" s="2" customFormat="1" ht="15">
      <c r="A39" s="35"/>
      <c r="B39" s="35" t="s">
        <v>357</v>
      </c>
      <c r="C39" s="56"/>
      <c r="D39" s="56">
        <f>D30+D37</f>
        <v>90705221.6</v>
      </c>
      <c r="E39" s="56">
        <f>E30+E37</f>
        <v>83918296.36</v>
      </c>
      <c r="F39" s="56">
        <f>D39-E39</f>
        <v>6786925.239999995</v>
      </c>
      <c r="H39" s="103"/>
    </row>
    <row r="40" spans="1:5" ht="14.25">
      <c r="A40" s="38"/>
      <c r="B40" s="38"/>
      <c r="C40" s="57"/>
      <c r="D40" s="57"/>
      <c r="E40" s="57"/>
    </row>
    <row r="41" spans="1:5" ht="14.25">
      <c r="A41" s="38"/>
      <c r="B41" s="38"/>
      <c r="C41" s="57"/>
      <c r="D41" s="57"/>
      <c r="E41" s="57"/>
    </row>
    <row r="42" spans="1:5" ht="14.25">
      <c r="A42" s="38"/>
      <c r="B42" s="38"/>
      <c r="C42" s="57"/>
      <c r="D42" s="57"/>
      <c r="E42" s="57"/>
    </row>
  </sheetData>
  <printOptions gridLines="1"/>
  <pageMargins left="0.15748031496062992" right="0.15748031496062992" top="1.08" bottom="0.3937007874015748" header="0.55" footer="0.5118110236220472"/>
  <pageSetup horizontalDpi="600" verticalDpi="600" orientation="portrait" paperSize="9" scale="69" r:id="rId1"/>
  <headerFooter alignWithMargins="0">
    <oddHeader>&amp;C&amp;"Arial,Bold"&amp;12Stop TB Partnership &amp;"Times New Roman,Bold"Secretariat
Work plan 2006-2007
PROPOSED BUDGET ALLOCATION&amp;R&amp;8Schedule 2</oddHeader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P53"/>
  <sheetViews>
    <sheetView zoomScaleSheetLayoutView="75" workbookViewId="0" topLeftCell="C1">
      <selection activeCell="K19" sqref="K19"/>
    </sheetView>
  </sheetViews>
  <sheetFormatPr defaultColWidth="9.140625" defaultRowHeight="12.75"/>
  <cols>
    <col min="1" max="1" width="14.28125" style="30" customWidth="1"/>
    <col min="2" max="2" width="3.8515625" style="25" customWidth="1"/>
    <col min="3" max="3" width="19.00390625" style="25" customWidth="1"/>
    <col min="4" max="4" width="7.140625" style="25" customWidth="1"/>
    <col min="5" max="5" width="33.7109375" style="25" customWidth="1"/>
    <col min="6" max="6" width="8.57421875" style="30" customWidth="1"/>
    <col min="7" max="7" width="10.57421875" style="30" customWidth="1"/>
    <col min="8" max="9" width="9.140625" style="30" customWidth="1"/>
    <col min="10" max="10" width="10.7109375" style="30" customWidth="1"/>
    <col min="11" max="11" width="10.57421875" style="30" customWidth="1"/>
    <col min="12" max="12" width="11.8515625" style="30" customWidth="1"/>
    <col min="13" max="13" width="12.28125" style="30" customWidth="1"/>
    <col min="14" max="14" width="11.8515625" style="30" customWidth="1"/>
    <col min="15" max="15" width="14.140625" style="30" customWidth="1"/>
    <col min="16" max="16" width="10.421875" style="24" bestFit="1" customWidth="1"/>
  </cols>
  <sheetData>
    <row r="1" spans="1:4" ht="15.75">
      <c r="A1" s="14" t="s">
        <v>684</v>
      </c>
      <c r="C1" s="9"/>
      <c r="D1" s="9"/>
    </row>
    <row r="2" spans="1:15" s="19" customFormat="1" ht="33.75">
      <c r="A2" s="18" t="s">
        <v>322</v>
      </c>
      <c r="B2" s="43"/>
      <c r="C2" s="18" t="s">
        <v>336</v>
      </c>
      <c r="D2" s="43"/>
      <c r="E2" s="18" t="s">
        <v>67</v>
      </c>
      <c r="F2" s="18" t="s">
        <v>325</v>
      </c>
      <c r="G2" s="18" t="s">
        <v>61</v>
      </c>
      <c r="H2" s="18" t="s">
        <v>62</v>
      </c>
      <c r="I2" s="18" t="s">
        <v>323</v>
      </c>
      <c r="J2" s="18" t="s">
        <v>333</v>
      </c>
      <c r="K2" s="18" t="s">
        <v>63</v>
      </c>
      <c r="L2" s="18" t="s">
        <v>332</v>
      </c>
      <c r="M2" s="18" t="s">
        <v>326</v>
      </c>
      <c r="N2" s="18" t="s">
        <v>64</v>
      </c>
      <c r="O2" s="18" t="s">
        <v>65</v>
      </c>
    </row>
    <row r="3" spans="5:15" ht="12.75">
      <c r="E3" s="39" t="s">
        <v>106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35" customFormat="1" ht="15">
      <c r="A4" s="11" t="s">
        <v>335</v>
      </c>
      <c r="B4" s="27"/>
      <c r="C4" s="28"/>
      <c r="D4" s="28"/>
      <c r="E4" s="34" t="s">
        <v>330</v>
      </c>
      <c r="F4" s="11"/>
      <c r="G4" s="5">
        <f aca="true" t="shared" si="0" ref="G4:N4">+G7+G13+G18+G23+G27+G32+G37</f>
        <v>1786250</v>
      </c>
      <c r="H4" s="5">
        <f t="shared" si="0"/>
        <v>400000</v>
      </c>
      <c r="I4" s="5">
        <f t="shared" si="0"/>
        <v>325000</v>
      </c>
      <c r="J4" s="5">
        <f t="shared" si="0"/>
        <v>320000</v>
      </c>
      <c r="K4" s="5">
        <f t="shared" si="0"/>
        <v>650000</v>
      </c>
      <c r="L4" s="5">
        <f t="shared" si="0"/>
        <v>50000</v>
      </c>
      <c r="M4" s="5">
        <f t="shared" si="0"/>
        <v>500000</v>
      </c>
      <c r="N4" s="5">
        <f t="shared" si="0"/>
        <v>241875</v>
      </c>
      <c r="O4" s="5">
        <f>SUM(G4:N4)</f>
        <v>4273125</v>
      </c>
      <c r="P4" s="57"/>
    </row>
    <row r="5" spans="1:16" s="35" customFormat="1" ht="15">
      <c r="A5" s="11"/>
      <c r="B5" s="27"/>
      <c r="C5" s="28"/>
      <c r="D5" s="28"/>
      <c r="E5" s="34"/>
      <c r="F5" s="11"/>
      <c r="G5" s="5"/>
      <c r="H5" s="5"/>
      <c r="I5" s="5"/>
      <c r="J5" s="5"/>
      <c r="K5" s="5"/>
      <c r="L5" s="5"/>
      <c r="M5" s="5"/>
      <c r="N5" s="5"/>
      <c r="O5" s="5"/>
      <c r="P5" s="57"/>
    </row>
    <row r="6" spans="1:16" s="2" customFormat="1" ht="12.75">
      <c r="A6" s="3" t="s">
        <v>661</v>
      </c>
      <c r="B6" s="9"/>
      <c r="C6" s="22"/>
      <c r="D6" s="22"/>
      <c r="E6" s="9" t="s">
        <v>660</v>
      </c>
      <c r="F6" s="3"/>
      <c r="G6" s="33">
        <f>G7+G13+G18+G23+G27+G32</f>
        <v>559000</v>
      </c>
      <c r="H6" s="33">
        <f aca="true" t="shared" si="1" ref="H6:N6">H7+H13+H18+H23+H27+H32</f>
        <v>150000</v>
      </c>
      <c r="I6" s="33">
        <f t="shared" si="1"/>
        <v>125000</v>
      </c>
      <c r="J6" s="33">
        <f t="shared" si="1"/>
        <v>0</v>
      </c>
      <c r="K6" s="33">
        <f t="shared" si="1"/>
        <v>650000</v>
      </c>
      <c r="L6" s="33">
        <f t="shared" si="1"/>
        <v>50000</v>
      </c>
      <c r="M6" s="33">
        <f t="shared" si="1"/>
        <v>500000</v>
      </c>
      <c r="N6" s="33">
        <f t="shared" si="1"/>
        <v>122040</v>
      </c>
      <c r="O6" s="33">
        <f aca="true" t="shared" si="2" ref="O6:O11">SUM(G6:N6)</f>
        <v>2156040</v>
      </c>
      <c r="P6" s="32"/>
    </row>
    <row r="7" spans="2:15" ht="12.75">
      <c r="B7" s="25">
        <v>1</v>
      </c>
      <c r="C7" s="26" t="s">
        <v>107</v>
      </c>
      <c r="D7" s="26"/>
      <c r="F7" s="30" t="s">
        <v>108</v>
      </c>
      <c r="G7" s="40">
        <f aca="true" t="shared" si="3" ref="G7:M7">+G8+G9+G10+G11</f>
        <v>0</v>
      </c>
      <c r="H7" s="40">
        <f t="shared" si="3"/>
        <v>0</v>
      </c>
      <c r="I7" s="40">
        <f t="shared" si="3"/>
        <v>95000</v>
      </c>
      <c r="J7" s="40"/>
      <c r="K7" s="40">
        <f t="shared" si="3"/>
        <v>200000</v>
      </c>
      <c r="L7" s="40">
        <f t="shared" si="3"/>
        <v>50000</v>
      </c>
      <c r="M7" s="40">
        <f t="shared" si="3"/>
        <v>0</v>
      </c>
      <c r="N7" s="40">
        <f>+N8+N9+N10+N11</f>
        <v>20700</v>
      </c>
      <c r="O7" s="40">
        <f t="shared" si="2"/>
        <v>365700</v>
      </c>
    </row>
    <row r="8" spans="3:15" ht="12.75">
      <c r="C8" s="26"/>
      <c r="D8" s="26">
        <v>1.1</v>
      </c>
      <c r="E8" s="25" t="s">
        <v>109</v>
      </c>
      <c r="G8" s="40">
        <v>0</v>
      </c>
      <c r="H8" s="40">
        <v>0</v>
      </c>
      <c r="I8" s="40">
        <v>0</v>
      </c>
      <c r="J8" s="40"/>
      <c r="K8" s="40">
        <v>200000</v>
      </c>
      <c r="L8" s="40">
        <v>0</v>
      </c>
      <c r="M8" s="40">
        <v>0</v>
      </c>
      <c r="N8" s="40">
        <f>SUM(G8:M8)*0.06</f>
        <v>12000</v>
      </c>
      <c r="O8" s="40">
        <f t="shared" si="2"/>
        <v>212000</v>
      </c>
    </row>
    <row r="9" spans="3:15" ht="12.75">
      <c r="C9" s="26"/>
      <c r="D9" s="26">
        <v>1.2</v>
      </c>
      <c r="E9" s="25" t="s">
        <v>110</v>
      </c>
      <c r="G9" s="40">
        <v>0</v>
      </c>
      <c r="H9" s="40">
        <v>0</v>
      </c>
      <c r="I9" s="40">
        <v>0</v>
      </c>
      <c r="J9" s="40"/>
      <c r="K9" s="40">
        <v>0</v>
      </c>
      <c r="L9" s="40">
        <v>50000</v>
      </c>
      <c r="M9" s="40">
        <v>0</v>
      </c>
      <c r="N9" s="40">
        <f>SUM(G9:M9)*0.06</f>
        <v>3000</v>
      </c>
      <c r="O9" s="40">
        <f t="shared" si="2"/>
        <v>53000</v>
      </c>
    </row>
    <row r="10" spans="3:15" ht="12.75">
      <c r="C10" s="26"/>
      <c r="D10" s="26">
        <v>1.3</v>
      </c>
      <c r="E10" s="25" t="s">
        <v>111</v>
      </c>
      <c r="G10" s="40">
        <v>0</v>
      </c>
      <c r="H10" s="40">
        <v>0</v>
      </c>
      <c r="I10" s="40">
        <v>45000</v>
      </c>
      <c r="J10" s="40"/>
      <c r="K10" s="40">
        <v>0</v>
      </c>
      <c r="L10" s="40">
        <v>0</v>
      </c>
      <c r="M10" s="40">
        <v>0</v>
      </c>
      <c r="N10" s="40">
        <f>SUM(G10:M10)*0.06</f>
        <v>2700</v>
      </c>
      <c r="O10" s="40">
        <f t="shared" si="2"/>
        <v>47700</v>
      </c>
    </row>
    <row r="11" spans="3:15" ht="12.75">
      <c r="C11" s="26"/>
      <c r="D11" s="26">
        <v>1.4</v>
      </c>
      <c r="E11" s="25" t="s">
        <v>112</v>
      </c>
      <c r="G11" s="40">
        <v>0</v>
      </c>
      <c r="H11" s="40">
        <v>0</v>
      </c>
      <c r="I11" s="40">
        <v>50000</v>
      </c>
      <c r="J11" s="40"/>
      <c r="K11" s="40">
        <v>0</v>
      </c>
      <c r="L11" s="40">
        <v>0</v>
      </c>
      <c r="M11" s="40">
        <v>0</v>
      </c>
      <c r="N11" s="40">
        <f>SUM(G11:M11)*0.06</f>
        <v>3000</v>
      </c>
      <c r="O11" s="40">
        <f t="shared" si="2"/>
        <v>53000</v>
      </c>
    </row>
    <row r="12" spans="3:14" ht="12.75">
      <c r="C12" s="26"/>
      <c r="D12" s="26"/>
      <c r="G12" s="40"/>
      <c r="H12" s="40"/>
      <c r="I12" s="40"/>
      <c r="J12" s="40"/>
      <c r="K12" s="40"/>
      <c r="L12" s="40"/>
      <c r="M12" s="40"/>
      <c r="N12" s="40"/>
    </row>
    <row r="13" spans="2:15" ht="49.5" customHeight="1">
      <c r="B13" s="25">
        <v>2</v>
      </c>
      <c r="C13" s="26" t="s">
        <v>113</v>
      </c>
      <c r="D13" s="26"/>
      <c r="F13" s="30" t="s">
        <v>108</v>
      </c>
      <c r="G13" s="40">
        <f aca="true" t="shared" si="4" ref="G13:M13">+G14+G15+G16</f>
        <v>0</v>
      </c>
      <c r="H13" s="40">
        <f t="shared" si="4"/>
        <v>70000</v>
      </c>
      <c r="I13" s="40">
        <f t="shared" si="4"/>
        <v>0</v>
      </c>
      <c r="J13" s="40"/>
      <c r="K13" s="40">
        <f t="shared" si="4"/>
        <v>300000</v>
      </c>
      <c r="L13" s="40">
        <f t="shared" si="4"/>
        <v>0</v>
      </c>
      <c r="M13" s="40">
        <f t="shared" si="4"/>
        <v>0</v>
      </c>
      <c r="N13" s="40">
        <f>+N14+N15+N16</f>
        <v>22200</v>
      </c>
      <c r="O13" s="40">
        <f>SUM(G13:N13)</f>
        <v>392200</v>
      </c>
    </row>
    <row r="14" spans="3:15" ht="12.75">
      <c r="C14" s="26"/>
      <c r="D14" s="26">
        <v>2.1</v>
      </c>
      <c r="E14" s="25" t="s">
        <v>109</v>
      </c>
      <c r="G14" s="40">
        <v>0</v>
      </c>
      <c r="H14" s="40">
        <v>0</v>
      </c>
      <c r="I14" s="40">
        <v>0</v>
      </c>
      <c r="J14" s="40"/>
      <c r="K14" s="40">
        <f>160000-10000</f>
        <v>150000</v>
      </c>
      <c r="L14" s="40">
        <v>0</v>
      </c>
      <c r="M14" s="40">
        <v>0</v>
      </c>
      <c r="N14" s="40">
        <f>SUM(G14:M14)*0.06</f>
        <v>9000</v>
      </c>
      <c r="O14" s="40">
        <f>SUM(G14:N14)</f>
        <v>159000</v>
      </c>
    </row>
    <row r="15" spans="3:15" ht="12.75">
      <c r="C15" s="26"/>
      <c r="D15" s="26">
        <v>2.2</v>
      </c>
      <c r="E15" s="26" t="s">
        <v>114</v>
      </c>
      <c r="G15" s="40">
        <v>0</v>
      </c>
      <c r="H15" s="40">
        <v>0</v>
      </c>
      <c r="I15" s="40">
        <v>0</v>
      </c>
      <c r="J15" s="40"/>
      <c r="K15" s="40">
        <f>170000-20000</f>
        <v>150000</v>
      </c>
      <c r="L15" s="40">
        <v>0</v>
      </c>
      <c r="M15" s="40">
        <v>0</v>
      </c>
      <c r="N15" s="40">
        <f>SUM(G15:M15)*0.06</f>
        <v>9000</v>
      </c>
      <c r="O15" s="40">
        <f>SUM(G15:N15)</f>
        <v>159000</v>
      </c>
    </row>
    <row r="16" spans="3:15" ht="12.75">
      <c r="C16" s="26"/>
      <c r="D16" s="26">
        <v>2.3</v>
      </c>
      <c r="E16" s="26" t="s">
        <v>115</v>
      </c>
      <c r="G16" s="40">
        <v>0</v>
      </c>
      <c r="H16" s="40">
        <v>70000</v>
      </c>
      <c r="I16" s="40">
        <v>0</v>
      </c>
      <c r="J16" s="40"/>
      <c r="K16" s="40">
        <v>0</v>
      </c>
      <c r="L16" s="40">
        <v>0</v>
      </c>
      <c r="M16" s="40">
        <v>0</v>
      </c>
      <c r="N16" s="40">
        <f>SUM(G16:M16)*0.06</f>
        <v>4200</v>
      </c>
      <c r="O16" s="40">
        <f>SUM(G16:N16)</f>
        <v>74200</v>
      </c>
    </row>
    <row r="17" spans="3:14" ht="12.75">
      <c r="C17" s="26"/>
      <c r="D17" s="26"/>
      <c r="E17" s="26"/>
      <c r="G17" s="40"/>
      <c r="H17" s="40"/>
      <c r="I17" s="40"/>
      <c r="J17" s="40"/>
      <c r="K17" s="40"/>
      <c r="L17" s="40"/>
      <c r="M17" s="40"/>
      <c r="N17" s="40"/>
    </row>
    <row r="18" spans="2:15" ht="25.5">
      <c r="B18" s="25">
        <v>3</v>
      </c>
      <c r="C18" s="26" t="s">
        <v>116</v>
      </c>
      <c r="D18" s="26"/>
      <c r="E18" s="26"/>
      <c r="F18" s="30" t="s">
        <v>108</v>
      </c>
      <c r="G18" s="40">
        <f aca="true" t="shared" si="5" ref="G18:M18">+G19+G20+G21</f>
        <v>0</v>
      </c>
      <c r="H18" s="40">
        <f t="shared" si="5"/>
        <v>30000</v>
      </c>
      <c r="I18" s="40">
        <f t="shared" si="5"/>
        <v>0</v>
      </c>
      <c r="J18" s="40"/>
      <c r="K18" s="40">
        <f t="shared" si="5"/>
        <v>50000</v>
      </c>
      <c r="L18" s="40">
        <f t="shared" si="5"/>
        <v>0</v>
      </c>
      <c r="M18" s="40">
        <f t="shared" si="5"/>
        <v>500000</v>
      </c>
      <c r="N18" s="40">
        <f>+N19+N20+N21</f>
        <v>34800</v>
      </c>
      <c r="O18" s="40">
        <f>SUM(G18:N18)</f>
        <v>614800</v>
      </c>
    </row>
    <row r="19" spans="3:15" ht="12.75">
      <c r="C19" s="26"/>
      <c r="D19" s="26">
        <v>3.1</v>
      </c>
      <c r="E19" s="26" t="s">
        <v>117</v>
      </c>
      <c r="G19" s="40">
        <v>0</v>
      </c>
      <c r="H19" s="40">
        <v>0</v>
      </c>
      <c r="I19" s="40">
        <v>0</v>
      </c>
      <c r="J19" s="40"/>
      <c r="K19" s="40">
        <f>90000-40000</f>
        <v>50000</v>
      </c>
      <c r="L19" s="40">
        <v>0</v>
      </c>
      <c r="M19" s="40">
        <v>0</v>
      </c>
      <c r="N19" s="40">
        <f>SUM(G19:M19)*0.06</f>
        <v>3000</v>
      </c>
      <c r="O19" s="40">
        <f>SUM(G19:N19)</f>
        <v>53000</v>
      </c>
    </row>
    <row r="20" spans="3:15" ht="12.75">
      <c r="C20" s="26"/>
      <c r="D20" s="26">
        <v>3.2</v>
      </c>
      <c r="E20" s="26" t="s">
        <v>115</v>
      </c>
      <c r="G20" s="40">
        <v>0</v>
      </c>
      <c r="H20" s="40">
        <f>60000-30000</f>
        <v>30000</v>
      </c>
      <c r="I20" s="40">
        <v>0</v>
      </c>
      <c r="J20" s="40"/>
      <c r="K20" s="40">
        <v>0</v>
      </c>
      <c r="L20" s="40">
        <v>0</v>
      </c>
      <c r="M20" s="40">
        <v>0</v>
      </c>
      <c r="N20" s="40">
        <f>SUM(G20:M20)*0.06</f>
        <v>1800</v>
      </c>
      <c r="O20" s="40">
        <f>SUM(G20:N20)</f>
        <v>31800</v>
      </c>
    </row>
    <row r="21" spans="3:15" ht="25.5">
      <c r="C21" s="26"/>
      <c r="D21" s="26">
        <v>3.3</v>
      </c>
      <c r="E21" s="26" t="s">
        <v>118</v>
      </c>
      <c r="G21" s="40">
        <v>0</v>
      </c>
      <c r="H21" s="40">
        <v>0</v>
      </c>
      <c r="I21" s="40">
        <v>0</v>
      </c>
      <c r="J21" s="40"/>
      <c r="K21" s="40">
        <v>0</v>
      </c>
      <c r="L21" s="40">
        <v>0</v>
      </c>
      <c r="M21" s="40">
        <f>800000-300000</f>
        <v>500000</v>
      </c>
      <c r="N21" s="40">
        <f>SUM(G21:M21)*0.06</f>
        <v>30000</v>
      </c>
      <c r="O21" s="40">
        <f>SUM(G21:N21)</f>
        <v>530000</v>
      </c>
    </row>
    <row r="22" spans="3:14" ht="12.75">
      <c r="C22" s="26"/>
      <c r="D22" s="26"/>
      <c r="E22" s="26"/>
      <c r="G22" s="40"/>
      <c r="H22" s="40"/>
      <c r="I22" s="40"/>
      <c r="J22" s="40"/>
      <c r="K22" s="40"/>
      <c r="L22" s="40"/>
      <c r="M22" s="40"/>
      <c r="N22" s="40"/>
    </row>
    <row r="23" spans="2:15" ht="25.5">
      <c r="B23" s="25">
        <v>4</v>
      </c>
      <c r="C23" s="26" t="s">
        <v>119</v>
      </c>
      <c r="D23" s="26"/>
      <c r="E23" s="26"/>
      <c r="F23" s="30" t="s">
        <v>108</v>
      </c>
      <c r="G23" s="40">
        <f aca="true" t="shared" si="6" ref="G23:M23">+G24+G25</f>
        <v>0</v>
      </c>
      <c r="H23" s="40">
        <f t="shared" si="6"/>
        <v>20000</v>
      </c>
      <c r="I23" s="40">
        <f t="shared" si="6"/>
        <v>0</v>
      </c>
      <c r="J23" s="40"/>
      <c r="K23" s="40">
        <f t="shared" si="6"/>
        <v>100000</v>
      </c>
      <c r="L23" s="40">
        <f t="shared" si="6"/>
        <v>0</v>
      </c>
      <c r="M23" s="40">
        <f t="shared" si="6"/>
        <v>0</v>
      </c>
      <c r="N23" s="40">
        <f>+N24+N25</f>
        <v>7200</v>
      </c>
      <c r="O23" s="40">
        <f>SUM(G23:N23)</f>
        <v>127200</v>
      </c>
    </row>
    <row r="24" spans="3:15" ht="12.75">
      <c r="C24" s="26"/>
      <c r="D24" s="26">
        <v>4.1</v>
      </c>
      <c r="E24" s="26" t="s">
        <v>120</v>
      </c>
      <c r="G24" s="40">
        <v>0</v>
      </c>
      <c r="H24" s="40">
        <v>0</v>
      </c>
      <c r="I24" s="40">
        <v>0</v>
      </c>
      <c r="J24" s="40"/>
      <c r="K24" s="40">
        <f>120000-20000</f>
        <v>100000</v>
      </c>
      <c r="L24" s="40">
        <v>0</v>
      </c>
      <c r="M24" s="40">
        <v>0</v>
      </c>
      <c r="N24" s="40">
        <f>SUM(G24:M24)*0.06</f>
        <v>6000</v>
      </c>
      <c r="O24" s="40">
        <f>SUM(G24:N24)</f>
        <v>106000</v>
      </c>
    </row>
    <row r="25" spans="3:15" ht="12.75">
      <c r="C25" s="26"/>
      <c r="D25" s="26">
        <v>4.2</v>
      </c>
      <c r="E25" s="26" t="s">
        <v>115</v>
      </c>
      <c r="G25" s="40">
        <v>0</v>
      </c>
      <c r="H25" s="40">
        <v>20000</v>
      </c>
      <c r="I25" s="40">
        <v>0</v>
      </c>
      <c r="J25" s="40"/>
      <c r="K25" s="40">
        <v>0</v>
      </c>
      <c r="L25" s="40">
        <v>0</v>
      </c>
      <c r="M25" s="40">
        <v>0</v>
      </c>
      <c r="N25" s="40">
        <f>SUM(G25:M25)*0.06</f>
        <v>1200</v>
      </c>
      <c r="O25" s="40">
        <f>SUM(G25:N25)</f>
        <v>21200</v>
      </c>
    </row>
    <row r="26" spans="3:14" ht="12.75">
      <c r="C26" s="26"/>
      <c r="D26" s="26"/>
      <c r="E26" s="26"/>
      <c r="G26" s="40"/>
      <c r="H26" s="40"/>
      <c r="I26" s="40"/>
      <c r="J26" s="40"/>
      <c r="K26" s="40"/>
      <c r="L26" s="40"/>
      <c r="M26" s="40"/>
      <c r="N26" s="40"/>
    </row>
    <row r="27" spans="2:15" ht="12.75">
      <c r="B27" s="25">
        <v>5</v>
      </c>
      <c r="C27" s="26" t="s">
        <v>121</v>
      </c>
      <c r="D27" s="26"/>
      <c r="E27" s="26"/>
      <c r="F27" s="30" t="s">
        <v>108</v>
      </c>
      <c r="G27" s="40">
        <f aca="true" t="shared" si="7" ref="G27:M27">+G28+G29+G30</f>
        <v>0</v>
      </c>
      <c r="H27" s="40">
        <f t="shared" si="7"/>
        <v>30000</v>
      </c>
      <c r="I27" s="40">
        <f t="shared" si="7"/>
        <v>30000</v>
      </c>
      <c r="J27" s="40"/>
      <c r="K27" s="40">
        <f t="shared" si="7"/>
        <v>0</v>
      </c>
      <c r="L27" s="40">
        <f t="shared" si="7"/>
        <v>0</v>
      </c>
      <c r="M27" s="40">
        <f t="shared" si="7"/>
        <v>0</v>
      </c>
      <c r="N27" s="40">
        <f>+N28+N29+N30</f>
        <v>3600</v>
      </c>
      <c r="O27" s="40">
        <f>SUM(G27:N27)</f>
        <v>63600</v>
      </c>
    </row>
    <row r="28" spans="3:15" ht="25.5">
      <c r="C28" s="26"/>
      <c r="D28" s="26">
        <v>5.1</v>
      </c>
      <c r="E28" s="26" t="s">
        <v>122</v>
      </c>
      <c r="G28" s="40">
        <v>0</v>
      </c>
      <c r="H28" s="40">
        <v>0</v>
      </c>
      <c r="I28" s="40">
        <f>25000-10000</f>
        <v>15000</v>
      </c>
      <c r="J28" s="40"/>
      <c r="K28" s="40">
        <v>0</v>
      </c>
      <c r="L28" s="40">
        <v>0</v>
      </c>
      <c r="M28" s="40">
        <v>0</v>
      </c>
      <c r="N28" s="40">
        <f>SUM(G28:M28)*0.06</f>
        <v>900</v>
      </c>
      <c r="O28" s="40">
        <f>SUM(G28:N28)</f>
        <v>15900</v>
      </c>
    </row>
    <row r="29" spans="3:15" ht="25.5">
      <c r="C29" s="26"/>
      <c r="D29" s="26">
        <v>5.2</v>
      </c>
      <c r="E29" s="26" t="s">
        <v>123</v>
      </c>
      <c r="G29" s="40">
        <v>0</v>
      </c>
      <c r="H29" s="40">
        <f>50000-25000</f>
        <v>25000</v>
      </c>
      <c r="I29" s="40">
        <v>0</v>
      </c>
      <c r="J29" s="40"/>
      <c r="K29" s="40">
        <v>0</v>
      </c>
      <c r="L29" s="40">
        <v>0</v>
      </c>
      <c r="M29" s="40">
        <v>0</v>
      </c>
      <c r="N29" s="40">
        <f>SUM(G29:M29)*0.06</f>
        <v>1500</v>
      </c>
      <c r="O29" s="40">
        <f>SUM(G29:N29)</f>
        <v>26500</v>
      </c>
    </row>
    <row r="30" spans="3:15" ht="12.75">
      <c r="C30" s="26"/>
      <c r="D30" s="26">
        <v>5.3</v>
      </c>
      <c r="E30" s="26" t="s">
        <v>124</v>
      </c>
      <c r="G30" s="40"/>
      <c r="H30" s="40">
        <v>5000</v>
      </c>
      <c r="I30" s="40">
        <v>15000</v>
      </c>
      <c r="J30" s="40"/>
      <c r="K30" s="40"/>
      <c r="L30" s="40"/>
      <c r="M30" s="40"/>
      <c r="N30" s="40">
        <f>SUM(G30:M30)*0.06</f>
        <v>1200</v>
      </c>
      <c r="O30" s="40">
        <f>SUM(G30:N30)</f>
        <v>21200</v>
      </c>
    </row>
    <row r="31" spans="3:14" ht="12.75">
      <c r="C31" s="26"/>
      <c r="D31" s="26"/>
      <c r="E31" s="26"/>
      <c r="G31" s="40"/>
      <c r="H31" s="40"/>
      <c r="I31" s="40"/>
      <c r="J31" s="40"/>
      <c r="K31" s="40"/>
      <c r="L31" s="40"/>
      <c r="M31" s="40"/>
      <c r="N31" s="40"/>
    </row>
    <row r="32" spans="2:15" ht="12.75">
      <c r="B32" s="25">
        <v>6</v>
      </c>
      <c r="C32" s="26" t="s">
        <v>125</v>
      </c>
      <c r="D32" s="26"/>
      <c r="E32" s="26"/>
      <c r="F32" s="30" t="s">
        <v>108</v>
      </c>
      <c r="G32" s="40">
        <f aca="true" t="shared" si="8" ref="G32:M32">+G33+G34</f>
        <v>559000</v>
      </c>
      <c r="H32" s="40">
        <f t="shared" si="8"/>
        <v>0</v>
      </c>
      <c r="I32" s="40">
        <f t="shared" si="8"/>
        <v>0</v>
      </c>
      <c r="J32" s="40"/>
      <c r="K32" s="40">
        <f t="shared" si="8"/>
        <v>0</v>
      </c>
      <c r="L32" s="40">
        <f t="shared" si="8"/>
        <v>0</v>
      </c>
      <c r="M32" s="40">
        <f t="shared" si="8"/>
        <v>0</v>
      </c>
      <c r="N32" s="40">
        <f>+N33+N34</f>
        <v>33540</v>
      </c>
      <c r="O32" s="40">
        <f>SUM(G32:N32)</f>
        <v>592540</v>
      </c>
    </row>
    <row r="33" spans="3:15" ht="12.75">
      <c r="C33" s="26"/>
      <c r="D33" s="26">
        <v>6.1</v>
      </c>
      <c r="E33" s="26" t="s">
        <v>126</v>
      </c>
      <c r="G33" s="40">
        <v>366000</v>
      </c>
      <c r="H33" s="40">
        <v>0</v>
      </c>
      <c r="I33" s="40">
        <v>0</v>
      </c>
      <c r="J33" s="40"/>
      <c r="K33" s="40">
        <v>0</v>
      </c>
      <c r="L33" s="40">
        <v>0</v>
      </c>
      <c r="M33" s="40">
        <v>0</v>
      </c>
      <c r="N33" s="40">
        <f>SUM(G33:M33)*0.06</f>
        <v>21960</v>
      </c>
      <c r="O33" s="40">
        <f>SUM(G33:N33)</f>
        <v>387960</v>
      </c>
    </row>
    <row r="34" spans="3:15" ht="12.75">
      <c r="C34" s="26"/>
      <c r="D34" s="26">
        <v>6.2</v>
      </c>
      <c r="E34" s="26" t="s">
        <v>127</v>
      </c>
      <c r="G34" s="40">
        <v>193000</v>
      </c>
      <c r="H34" s="40">
        <v>0</v>
      </c>
      <c r="I34" s="40">
        <v>0</v>
      </c>
      <c r="J34" s="40"/>
      <c r="K34" s="40">
        <v>0</v>
      </c>
      <c r="L34" s="40">
        <v>0</v>
      </c>
      <c r="M34" s="40">
        <v>0</v>
      </c>
      <c r="N34" s="40">
        <f>SUM(G34:M34)*0.06</f>
        <v>11580</v>
      </c>
      <c r="O34" s="40">
        <f>SUM(G34:N34)</f>
        <v>204580</v>
      </c>
    </row>
    <row r="35" spans="3:15" ht="12.75">
      <c r="C35" s="26"/>
      <c r="D35" s="26"/>
      <c r="E35" s="26"/>
      <c r="G35" s="40"/>
      <c r="H35" s="40"/>
      <c r="I35" s="40"/>
      <c r="J35" s="40"/>
      <c r="K35" s="40"/>
      <c r="L35" s="40"/>
      <c r="M35" s="40"/>
      <c r="N35" s="40"/>
      <c r="O35" s="40"/>
    </row>
    <row r="36" ht="12.75">
      <c r="E36" s="26"/>
    </row>
    <row r="37" spans="1:16" s="2" customFormat="1" ht="12.75">
      <c r="A37" s="9" t="s">
        <v>338</v>
      </c>
      <c r="B37" s="9"/>
      <c r="C37" s="9"/>
      <c r="D37" s="9"/>
      <c r="E37" s="23" t="s">
        <v>343</v>
      </c>
      <c r="F37" s="3"/>
      <c r="G37" s="33">
        <f>G38+G45+G50</f>
        <v>1227250</v>
      </c>
      <c r="H37" s="33">
        <f>H38+H45+H50</f>
        <v>250000</v>
      </c>
      <c r="I37" s="33">
        <f>I38+I45+I50</f>
        <v>200000</v>
      </c>
      <c r="J37" s="33">
        <f>J38+J45+J50</f>
        <v>320000</v>
      </c>
      <c r="K37" s="3"/>
      <c r="L37" s="3"/>
      <c r="M37" s="3"/>
      <c r="N37" s="33">
        <f>N38+N45+N50</f>
        <v>119835</v>
      </c>
      <c r="O37" s="33">
        <f>SUM(G37:N37)</f>
        <v>2117085</v>
      </c>
      <c r="P37" s="32"/>
    </row>
    <row r="38" spans="2:16" ht="12.75">
      <c r="B38" s="25">
        <v>1</v>
      </c>
      <c r="C38" s="25" t="s">
        <v>342</v>
      </c>
      <c r="F38" s="30" t="s">
        <v>96</v>
      </c>
      <c r="G38" s="40">
        <f>+G39+G40+G41+G42+G43</f>
        <v>0</v>
      </c>
      <c r="H38" s="40">
        <f>+H39+H40+H41+H42+H43</f>
        <v>200000</v>
      </c>
      <c r="I38" s="40">
        <f aca="true" t="shared" si="9" ref="I38:N38">+I39+I40+I41+I42+I43</f>
        <v>0</v>
      </c>
      <c r="J38" s="40">
        <f>+J39+J40+J41+J42+J43</f>
        <v>320000</v>
      </c>
      <c r="K38" s="40">
        <f t="shared" si="9"/>
        <v>0</v>
      </c>
      <c r="L38" s="40">
        <f t="shared" si="9"/>
        <v>0</v>
      </c>
      <c r="M38" s="40">
        <f t="shared" si="9"/>
        <v>0</v>
      </c>
      <c r="N38" s="40">
        <f t="shared" si="9"/>
        <v>31200</v>
      </c>
      <c r="O38" s="40">
        <f>SUM(G38:N38)</f>
        <v>551200</v>
      </c>
      <c r="P38" s="32"/>
    </row>
    <row r="39" spans="4:15" ht="38.25">
      <c r="D39" s="25">
        <v>1.1</v>
      </c>
      <c r="E39" s="26" t="s">
        <v>95</v>
      </c>
      <c r="G39" s="40">
        <v>0</v>
      </c>
      <c r="H39" s="40">
        <v>0</v>
      </c>
      <c r="I39" s="40">
        <v>0</v>
      </c>
      <c r="J39" s="40">
        <v>300000</v>
      </c>
      <c r="N39" s="40">
        <f>SUM(G39:M39)*0.06</f>
        <v>18000</v>
      </c>
      <c r="O39" s="40">
        <f aca="true" t="shared" si="10" ref="O39:O48">SUM(G39:N39)</f>
        <v>318000</v>
      </c>
    </row>
    <row r="40" spans="4:15" ht="12.75">
      <c r="D40" s="25">
        <v>1.2</v>
      </c>
      <c r="E40" s="26" t="s">
        <v>97</v>
      </c>
      <c r="G40" s="40">
        <v>0</v>
      </c>
      <c r="H40" s="40">
        <v>100000</v>
      </c>
      <c r="I40" s="40">
        <v>0</v>
      </c>
      <c r="J40" s="40">
        <v>0</v>
      </c>
      <c r="N40" s="40">
        <f>SUM(G40:M40)*0.06</f>
        <v>6000</v>
      </c>
      <c r="O40" s="40">
        <f t="shared" si="10"/>
        <v>106000</v>
      </c>
    </row>
    <row r="41" spans="4:15" ht="25.5">
      <c r="D41" s="25">
        <v>1.3</v>
      </c>
      <c r="E41" s="26" t="s">
        <v>98</v>
      </c>
      <c r="G41" s="40">
        <v>0</v>
      </c>
      <c r="H41" s="40">
        <v>20000</v>
      </c>
      <c r="I41" s="40">
        <v>0</v>
      </c>
      <c r="J41" s="40">
        <v>0</v>
      </c>
      <c r="N41" s="40">
        <f>SUM(G41:M41)*0.06</f>
        <v>1200</v>
      </c>
      <c r="O41" s="40">
        <f t="shared" si="10"/>
        <v>21200</v>
      </c>
    </row>
    <row r="42" spans="4:15" ht="25.5">
      <c r="D42" s="25">
        <v>1.4</v>
      </c>
      <c r="E42" s="26" t="s">
        <v>99</v>
      </c>
      <c r="G42" s="40">
        <v>0</v>
      </c>
      <c r="H42" s="40">
        <v>0</v>
      </c>
      <c r="I42" s="40">
        <v>0</v>
      </c>
      <c r="J42" s="40">
        <v>20000</v>
      </c>
      <c r="N42" s="40">
        <f>SUM(G42:M42)*0.06</f>
        <v>1200</v>
      </c>
      <c r="O42" s="40">
        <f t="shared" si="10"/>
        <v>21200</v>
      </c>
    </row>
    <row r="43" spans="4:15" ht="25.5">
      <c r="D43" s="25">
        <v>1.5</v>
      </c>
      <c r="E43" s="26" t="s">
        <v>100</v>
      </c>
      <c r="G43" s="40">
        <v>0</v>
      </c>
      <c r="H43" s="40">
        <v>80000</v>
      </c>
      <c r="I43" s="40">
        <v>0</v>
      </c>
      <c r="J43" s="40">
        <v>0</v>
      </c>
      <c r="N43" s="40">
        <f>SUM(G43:M43)*0.06</f>
        <v>4800</v>
      </c>
      <c r="O43" s="40">
        <f t="shared" si="10"/>
        <v>84800</v>
      </c>
    </row>
    <row r="44" spans="7:15" ht="12.75">
      <c r="G44" s="40"/>
      <c r="H44" s="40"/>
      <c r="I44" s="40"/>
      <c r="J44" s="40"/>
      <c r="N44" s="40"/>
      <c r="O44" s="40"/>
    </row>
    <row r="45" spans="2:16" ht="12.75">
      <c r="B45" s="25">
        <v>2</v>
      </c>
      <c r="C45" s="25" t="s">
        <v>337</v>
      </c>
      <c r="F45" s="30" t="s">
        <v>96</v>
      </c>
      <c r="G45" s="40">
        <f>+G46+G47+G48</f>
        <v>911500</v>
      </c>
      <c r="H45" s="40">
        <f aca="true" t="shared" si="11" ref="H45:N45">+H46+H47+H48</f>
        <v>0</v>
      </c>
      <c r="I45" s="40">
        <f t="shared" si="11"/>
        <v>0</v>
      </c>
      <c r="J45" s="40">
        <f t="shared" si="11"/>
        <v>0</v>
      </c>
      <c r="K45" s="40">
        <f t="shared" si="11"/>
        <v>0</v>
      </c>
      <c r="L45" s="40">
        <f t="shared" si="11"/>
        <v>0</v>
      </c>
      <c r="M45" s="40">
        <f t="shared" si="11"/>
        <v>0</v>
      </c>
      <c r="N45" s="40">
        <f t="shared" si="11"/>
        <v>54690</v>
      </c>
      <c r="O45" s="40">
        <f>SUM(G45:N45)</f>
        <v>966190</v>
      </c>
      <c r="P45" s="32"/>
    </row>
    <row r="46" spans="4:15" ht="12.75">
      <c r="D46" s="25">
        <v>2.1</v>
      </c>
      <c r="E46" s="25" t="s">
        <v>101</v>
      </c>
      <c r="G46" s="40">
        <v>479000</v>
      </c>
      <c r="H46" s="40">
        <v>0</v>
      </c>
      <c r="I46" s="40">
        <v>0</v>
      </c>
      <c r="J46" s="40">
        <v>0</v>
      </c>
      <c r="N46" s="40">
        <f>SUM(G46:M46)*0.06</f>
        <v>28740</v>
      </c>
      <c r="O46" s="40">
        <f>SUM(G46:N46)</f>
        <v>507740</v>
      </c>
    </row>
    <row r="47" spans="4:15" ht="12.75">
      <c r="D47" s="25">
        <v>2.2</v>
      </c>
      <c r="E47" s="25" t="s">
        <v>102</v>
      </c>
      <c r="G47" s="40">
        <v>222000</v>
      </c>
      <c r="H47" s="40">
        <v>0</v>
      </c>
      <c r="I47" s="40">
        <v>0</v>
      </c>
      <c r="J47" s="40">
        <v>0</v>
      </c>
      <c r="N47" s="40">
        <f>SUM(G47:M47)*0.06</f>
        <v>13320</v>
      </c>
      <c r="O47" s="40">
        <f>SUM(G47:N47)</f>
        <v>235320</v>
      </c>
    </row>
    <row r="48" spans="4:15" ht="12.75">
      <c r="D48" s="25">
        <v>2.3</v>
      </c>
      <c r="E48" s="41" t="s">
        <v>103</v>
      </c>
      <c r="G48" s="40">
        <f>421000*0.5</f>
        <v>210500</v>
      </c>
      <c r="H48" s="40"/>
      <c r="I48" s="40"/>
      <c r="J48" s="40"/>
      <c r="N48" s="40">
        <f>SUM(G48:M48)*0.06</f>
        <v>12630</v>
      </c>
      <c r="O48" s="40">
        <f t="shared" si="10"/>
        <v>223130</v>
      </c>
    </row>
    <row r="49" spans="5:15" ht="12.75">
      <c r="E49" s="41"/>
      <c r="G49" s="40"/>
      <c r="H49" s="40"/>
      <c r="I49" s="40"/>
      <c r="J49" s="40"/>
      <c r="N49" s="40"/>
      <c r="O49" s="40"/>
    </row>
    <row r="50" spans="2:15" ht="12.75">
      <c r="B50" s="25">
        <v>3</v>
      </c>
      <c r="C50" s="25" t="s">
        <v>340</v>
      </c>
      <c r="F50" s="30" t="s">
        <v>341</v>
      </c>
      <c r="G50" s="40">
        <f>+G51+G52</f>
        <v>315750</v>
      </c>
      <c r="H50" s="40">
        <f aca="true" t="shared" si="12" ref="H50:M50">+H51+H52</f>
        <v>50000</v>
      </c>
      <c r="I50" s="40">
        <f t="shared" si="12"/>
        <v>200000</v>
      </c>
      <c r="J50" s="40">
        <f t="shared" si="12"/>
        <v>0</v>
      </c>
      <c r="K50" s="40">
        <f t="shared" si="12"/>
        <v>0</v>
      </c>
      <c r="L50" s="40">
        <f t="shared" si="12"/>
        <v>0</v>
      </c>
      <c r="M50" s="40">
        <f t="shared" si="12"/>
        <v>0</v>
      </c>
      <c r="N50" s="40">
        <f>+N51+N52</f>
        <v>33945</v>
      </c>
      <c r="O50" s="40">
        <f>SUM(G50:N50)</f>
        <v>599695</v>
      </c>
    </row>
    <row r="51" spans="4:15" ht="12.75">
      <c r="D51" s="25">
        <v>3.1</v>
      </c>
      <c r="E51" s="25" t="s">
        <v>104</v>
      </c>
      <c r="G51" s="40"/>
      <c r="H51" s="42">
        <v>50000</v>
      </c>
      <c r="I51" s="42">
        <v>200000</v>
      </c>
      <c r="J51" s="42"/>
      <c r="N51" s="40">
        <f>SUM(G51:M51)*0.06</f>
        <v>15000</v>
      </c>
      <c r="O51" s="40">
        <f>SUM(G51:N51)</f>
        <v>265000</v>
      </c>
    </row>
    <row r="52" spans="4:15" ht="12.75">
      <c r="D52" s="25">
        <v>3.2</v>
      </c>
      <c r="E52" s="25" t="s">
        <v>339</v>
      </c>
      <c r="G52" s="40">
        <v>315750</v>
      </c>
      <c r="H52" s="40"/>
      <c r="I52" s="40"/>
      <c r="J52" s="40"/>
      <c r="N52" s="40">
        <f>SUM(G52:M52)*0.06</f>
        <v>18945</v>
      </c>
      <c r="O52" s="40">
        <f>SUM(G52:N52)</f>
        <v>334695</v>
      </c>
    </row>
    <row r="53" ht="12.75">
      <c r="E53" s="26"/>
    </row>
  </sheetData>
  <printOptions gridLines="1"/>
  <pageMargins left="0.1968503937007874" right="0.15748031496062992" top="0.3937007874015748" bottom="0.1968503937007874" header="0.5118110236220472" footer="0.5118110236220472"/>
  <pageSetup horizontalDpi="600" verticalDpi="600" orientation="landscape" paperSize="9" scale="65" r:id="rId3"/>
  <headerFooter alignWithMargins="0">
    <oddFooter>&amp;R&amp;8Page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O76"/>
  <sheetViews>
    <sheetView zoomScale="75" zoomScaleNormal="75" zoomScaleSheetLayoutView="70" workbookViewId="0" topLeftCell="A3">
      <selection activeCell="A7" sqref="A7:IV7"/>
    </sheetView>
  </sheetViews>
  <sheetFormatPr defaultColWidth="9.140625" defaultRowHeight="12.75"/>
  <cols>
    <col min="1" max="1" width="22.28125" style="24" customWidth="1"/>
    <col min="2" max="2" width="4.28125" style="78" customWidth="1"/>
    <col min="3" max="3" width="30.00390625" style="77" customWidth="1"/>
    <col min="4" max="4" width="33.00390625" style="77" customWidth="1"/>
    <col min="5" max="5" width="9.00390625" style="24" customWidth="1"/>
    <col min="6" max="6" width="9.7109375" style="24" customWidth="1"/>
    <col min="7" max="7" width="10.28125" style="24" customWidth="1"/>
    <col min="8" max="8" width="12.8515625" style="24" customWidth="1"/>
    <col min="9" max="9" width="10.00390625" style="24" customWidth="1"/>
    <col min="10" max="10" width="19.8515625" style="24" customWidth="1"/>
    <col min="11" max="12" width="16.57421875" style="24" customWidth="1"/>
    <col min="13" max="13" width="9.28125" style="24" customWidth="1"/>
    <col min="14" max="14" width="15.7109375" style="24" customWidth="1"/>
    <col min="15" max="15" width="11.140625" style="24" bestFit="1" customWidth="1"/>
  </cols>
  <sheetData>
    <row r="1" spans="1:15" ht="15.75">
      <c r="A1" s="14" t="s">
        <v>684</v>
      </c>
      <c r="B1" s="54"/>
      <c r="C1" s="9"/>
      <c r="D1" s="25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68" customFormat="1" ht="22.5">
      <c r="A2" s="18" t="s">
        <v>66</v>
      </c>
      <c r="B2" s="53"/>
      <c r="C2" s="18" t="s">
        <v>172</v>
      </c>
      <c r="D2" s="18" t="s">
        <v>67</v>
      </c>
      <c r="E2" s="18" t="s">
        <v>325</v>
      </c>
      <c r="F2" s="18" t="s">
        <v>61</v>
      </c>
      <c r="G2" s="18" t="s">
        <v>62</v>
      </c>
      <c r="H2" s="18" t="s">
        <v>3</v>
      </c>
      <c r="I2" s="18" t="s">
        <v>63</v>
      </c>
      <c r="J2" s="18" t="s">
        <v>324</v>
      </c>
      <c r="K2" s="18" t="s">
        <v>4</v>
      </c>
      <c r="L2" s="21" t="s">
        <v>0</v>
      </c>
      <c r="M2" s="21" t="s">
        <v>64</v>
      </c>
      <c r="N2" s="21" t="s">
        <v>65</v>
      </c>
      <c r="O2" s="67"/>
    </row>
    <row r="3" spans="1:15" s="80" customFormat="1" ht="15">
      <c r="A3" s="69" t="s">
        <v>5</v>
      </c>
      <c r="B3" s="74"/>
      <c r="C3" s="75"/>
      <c r="D3" s="9" t="s">
        <v>330</v>
      </c>
      <c r="E3" s="70"/>
      <c r="F3" s="33">
        <f>F37+F5</f>
        <v>822000</v>
      </c>
      <c r="G3" s="33">
        <f aca="true" t="shared" si="0" ref="G3:L3">G37+G5</f>
        <v>0</v>
      </c>
      <c r="H3" s="33">
        <f t="shared" si="0"/>
        <v>448000</v>
      </c>
      <c r="I3" s="33">
        <f t="shared" si="0"/>
        <v>60000</v>
      </c>
      <c r="J3" s="33">
        <f t="shared" si="0"/>
        <v>46400</v>
      </c>
      <c r="K3" s="33">
        <f t="shared" si="0"/>
        <v>200000</v>
      </c>
      <c r="L3" s="33">
        <f t="shared" si="0"/>
        <v>2570000</v>
      </c>
      <c r="M3" s="33">
        <f>M37+M5</f>
        <v>248784</v>
      </c>
      <c r="N3" s="33">
        <f>SUM(F3:M3)</f>
        <v>4395184</v>
      </c>
      <c r="O3" s="81"/>
    </row>
    <row r="4" spans="1:15" s="72" customFormat="1" ht="15">
      <c r="A4" s="69"/>
      <c r="B4" s="74"/>
      <c r="C4" s="75"/>
      <c r="D4" s="9"/>
      <c r="E4" s="70"/>
      <c r="F4" s="40"/>
      <c r="G4" s="40"/>
      <c r="H4" s="40"/>
      <c r="I4" s="40"/>
      <c r="J4" s="40"/>
      <c r="K4" s="40"/>
      <c r="L4" s="40"/>
      <c r="M4" s="40"/>
      <c r="N4" s="40"/>
      <c r="O4" s="71"/>
    </row>
    <row r="5" spans="1:15" ht="12.75">
      <c r="A5" s="3" t="s">
        <v>6</v>
      </c>
      <c r="B5" s="54"/>
      <c r="C5" s="25"/>
      <c r="D5" s="9" t="s">
        <v>343</v>
      </c>
      <c r="E5" s="30"/>
      <c r="F5" s="33">
        <f>F7+F14+F18+F21+F25+F30+F33</f>
        <v>306000</v>
      </c>
      <c r="G5" s="33">
        <f aca="true" t="shared" si="1" ref="G5:L5">G7+G14+G18+G21+G25+G30+G33</f>
        <v>0</v>
      </c>
      <c r="H5" s="33">
        <f>H7+H14+H18+H21+H25+H30+H33</f>
        <v>448000</v>
      </c>
      <c r="I5" s="33">
        <f t="shared" si="1"/>
        <v>60000</v>
      </c>
      <c r="J5" s="33">
        <f t="shared" si="1"/>
        <v>46400</v>
      </c>
      <c r="K5" s="33">
        <f>K7+K14+K18+K21+K25+K30+K33</f>
        <v>200000</v>
      </c>
      <c r="L5" s="33">
        <f t="shared" si="1"/>
        <v>0</v>
      </c>
      <c r="M5" s="33">
        <f>M7+M14+M18+M21+M25+M30+M33</f>
        <v>63624</v>
      </c>
      <c r="N5" s="33">
        <f>SUM(F5:M5)</f>
        <v>1124024</v>
      </c>
      <c r="O5" s="40"/>
    </row>
    <row r="6" spans="1:15" ht="12.75">
      <c r="A6" s="30"/>
      <c r="B6" s="76"/>
      <c r="C6" s="25"/>
      <c r="E6" s="3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30" customHeight="1">
      <c r="A7" s="30"/>
      <c r="B7" s="76">
        <v>1</v>
      </c>
      <c r="C7" s="26" t="s">
        <v>601</v>
      </c>
      <c r="D7" s="26"/>
      <c r="E7" s="30" t="s">
        <v>602</v>
      </c>
      <c r="F7" s="40">
        <f aca="true" t="shared" si="2" ref="F7:L7">+F8+F9+F10+F11+F12</f>
        <v>0</v>
      </c>
      <c r="G7" s="40">
        <f t="shared" si="2"/>
        <v>0</v>
      </c>
      <c r="H7" s="40">
        <f t="shared" si="2"/>
        <v>410000</v>
      </c>
      <c r="I7" s="40">
        <f t="shared" si="2"/>
        <v>60000</v>
      </c>
      <c r="J7" s="40">
        <f t="shared" si="2"/>
        <v>46400</v>
      </c>
      <c r="K7" s="40">
        <f t="shared" si="2"/>
        <v>200000</v>
      </c>
      <c r="L7" s="40">
        <f t="shared" si="2"/>
        <v>0</v>
      </c>
      <c r="M7" s="40">
        <f>+M8+M9+M10+M11+M12</f>
        <v>42984</v>
      </c>
      <c r="N7" s="40">
        <f aca="true" t="shared" si="3" ref="N7:N12">SUM(F7:M7)</f>
        <v>759384</v>
      </c>
      <c r="O7" s="40"/>
    </row>
    <row r="8" spans="1:15" ht="12.75">
      <c r="A8" s="30"/>
      <c r="B8" s="76"/>
      <c r="C8" s="25">
        <v>1.1</v>
      </c>
      <c r="D8" s="26" t="s">
        <v>603</v>
      </c>
      <c r="E8" s="30"/>
      <c r="F8" s="40">
        <v>0</v>
      </c>
      <c r="G8" s="40">
        <v>0</v>
      </c>
      <c r="H8" s="40">
        <v>120000</v>
      </c>
      <c r="I8" s="40">
        <v>0</v>
      </c>
      <c r="J8" s="40">
        <v>0</v>
      </c>
      <c r="K8" s="40">
        <v>0</v>
      </c>
      <c r="L8" s="40"/>
      <c r="M8" s="40">
        <f>SUM(F8:L8)*0.06</f>
        <v>7200</v>
      </c>
      <c r="N8" s="40">
        <f t="shared" si="3"/>
        <v>127200</v>
      </c>
      <c r="O8" s="30"/>
    </row>
    <row r="9" spans="1:15" ht="25.5">
      <c r="A9" s="30"/>
      <c r="B9" s="76"/>
      <c r="C9" s="25">
        <v>1.2</v>
      </c>
      <c r="D9" s="26" t="s">
        <v>604</v>
      </c>
      <c r="E9" s="30"/>
      <c r="F9" s="40">
        <v>0</v>
      </c>
      <c r="G9" s="40">
        <v>0</v>
      </c>
      <c r="H9" s="40">
        <f>340000-170000</f>
        <v>170000</v>
      </c>
      <c r="I9" s="40">
        <v>0</v>
      </c>
      <c r="J9" s="40">
        <v>0</v>
      </c>
      <c r="K9" s="40">
        <v>0</v>
      </c>
      <c r="L9" s="40"/>
      <c r="M9" s="40">
        <f>SUM(F9:L9)*0.06</f>
        <v>10200</v>
      </c>
      <c r="N9" s="40">
        <f t="shared" si="3"/>
        <v>180200</v>
      </c>
      <c r="O9" s="30"/>
    </row>
    <row r="10" spans="1:15" ht="38.25">
      <c r="A10" s="30"/>
      <c r="B10" s="76"/>
      <c r="C10" s="25">
        <v>1.3</v>
      </c>
      <c r="D10" s="26" t="s">
        <v>605</v>
      </c>
      <c r="E10" s="30"/>
      <c r="F10" s="40">
        <v>0</v>
      </c>
      <c r="G10" s="40">
        <v>0</v>
      </c>
      <c r="H10" s="40">
        <v>0</v>
      </c>
      <c r="I10" s="40">
        <v>0</v>
      </c>
      <c r="J10" s="40">
        <f>60000-13600</f>
        <v>46400</v>
      </c>
      <c r="K10" s="40">
        <v>0</v>
      </c>
      <c r="L10" s="40"/>
      <c r="M10" s="40">
        <f>SUM(F10:L10)*0.06</f>
        <v>2784</v>
      </c>
      <c r="N10" s="40">
        <f t="shared" si="3"/>
        <v>49184</v>
      </c>
      <c r="O10" s="30"/>
    </row>
    <row r="11" spans="1:15" ht="25.5">
      <c r="A11" s="30"/>
      <c r="B11" s="76"/>
      <c r="C11" s="25">
        <v>1.4</v>
      </c>
      <c r="D11" s="26" t="s">
        <v>606</v>
      </c>
      <c r="E11" s="30"/>
      <c r="F11" s="40">
        <v>0</v>
      </c>
      <c r="G11" s="40">
        <v>0</v>
      </c>
      <c r="H11" s="40">
        <v>120000</v>
      </c>
      <c r="I11" s="40">
        <v>60000</v>
      </c>
      <c r="J11" s="40">
        <v>0</v>
      </c>
      <c r="K11" s="40">
        <v>0</v>
      </c>
      <c r="L11" s="40"/>
      <c r="M11" s="40">
        <f>SUM(F11:L11)*0.06</f>
        <v>10800</v>
      </c>
      <c r="N11" s="40">
        <f t="shared" si="3"/>
        <v>190800</v>
      </c>
      <c r="O11" s="30"/>
    </row>
    <row r="12" spans="1:15" ht="25.5">
      <c r="A12" s="30"/>
      <c r="B12" s="76"/>
      <c r="C12" s="25">
        <v>1.5</v>
      </c>
      <c r="D12" s="26" t="s">
        <v>607</v>
      </c>
      <c r="E12" s="30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200000</v>
      </c>
      <c r="L12" s="40"/>
      <c r="M12" s="40">
        <f>SUM(F12:L12)*0.06</f>
        <v>12000</v>
      </c>
      <c r="N12" s="40">
        <f t="shared" si="3"/>
        <v>212000</v>
      </c>
      <c r="O12" s="30"/>
    </row>
    <row r="13" spans="1:15" ht="12.75">
      <c r="A13" s="30"/>
      <c r="B13" s="76"/>
      <c r="C13" s="25"/>
      <c r="D13" s="26"/>
      <c r="E13" s="30"/>
      <c r="F13" s="40"/>
      <c r="G13" s="40"/>
      <c r="H13" s="40"/>
      <c r="I13" s="40"/>
      <c r="J13" s="40"/>
      <c r="K13" s="40"/>
      <c r="L13" s="40"/>
      <c r="M13" s="40"/>
      <c r="N13" s="40"/>
      <c r="O13" s="30"/>
    </row>
    <row r="14" spans="1:15" ht="12.75">
      <c r="A14" s="30"/>
      <c r="B14" s="76">
        <v>2</v>
      </c>
      <c r="C14" s="26" t="s">
        <v>608</v>
      </c>
      <c r="D14" s="26"/>
      <c r="E14" s="30" t="s">
        <v>602</v>
      </c>
      <c r="F14" s="40">
        <f>+F15+F16</f>
        <v>0</v>
      </c>
      <c r="G14" s="40">
        <f aca="true" t="shared" si="4" ref="G14:M14">+G15+G16</f>
        <v>0</v>
      </c>
      <c r="H14" s="40">
        <f t="shared" si="4"/>
        <v>0</v>
      </c>
      <c r="I14" s="40">
        <f t="shared" si="4"/>
        <v>0</v>
      </c>
      <c r="J14" s="40">
        <f t="shared" si="4"/>
        <v>0</v>
      </c>
      <c r="K14" s="40">
        <f t="shared" si="4"/>
        <v>0</v>
      </c>
      <c r="L14" s="40">
        <f t="shared" si="4"/>
        <v>0</v>
      </c>
      <c r="M14" s="40">
        <f t="shared" si="4"/>
        <v>0</v>
      </c>
      <c r="N14" s="40">
        <f>SUM(F14:M14)</f>
        <v>0</v>
      </c>
      <c r="O14" s="30"/>
    </row>
    <row r="15" spans="1:15" ht="12.75">
      <c r="A15" s="30"/>
      <c r="B15" s="76"/>
      <c r="C15" s="25">
        <v>2.1</v>
      </c>
      <c r="D15" s="26" t="s">
        <v>76</v>
      </c>
      <c r="E15" s="30"/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/>
      <c r="M15" s="40">
        <f>SUM(F15:L15)*0.06</f>
        <v>0</v>
      </c>
      <c r="N15" s="40">
        <f>SUM(F15:M15)</f>
        <v>0</v>
      </c>
      <c r="O15" s="30"/>
    </row>
    <row r="16" spans="1:15" ht="25.5">
      <c r="A16" s="30"/>
      <c r="B16" s="76"/>
      <c r="C16" s="25">
        <v>2.2</v>
      </c>
      <c r="D16" s="26" t="s">
        <v>609</v>
      </c>
      <c r="E16" s="30"/>
      <c r="F16" s="40">
        <v>0</v>
      </c>
      <c r="G16" s="40">
        <f>10000-10000</f>
        <v>0</v>
      </c>
      <c r="H16" s="40">
        <f>50000-50000</f>
        <v>0</v>
      </c>
      <c r="I16" s="40">
        <v>0</v>
      </c>
      <c r="J16" s="40">
        <v>0</v>
      </c>
      <c r="K16" s="40">
        <v>0</v>
      </c>
      <c r="L16" s="40"/>
      <c r="M16" s="40">
        <f>SUM(F16:K16)*0.06</f>
        <v>0</v>
      </c>
      <c r="N16" s="40">
        <f>SUM(F16:M16)</f>
        <v>0</v>
      </c>
      <c r="O16" s="30"/>
    </row>
    <row r="17" spans="1:15" ht="12.75">
      <c r="A17" s="30"/>
      <c r="B17" s="76"/>
      <c r="C17" s="25"/>
      <c r="D17" s="26"/>
      <c r="E17" s="30"/>
      <c r="F17" s="40"/>
      <c r="G17" s="40"/>
      <c r="H17" s="40"/>
      <c r="I17" s="40"/>
      <c r="J17" s="40"/>
      <c r="K17" s="40"/>
      <c r="L17" s="40"/>
      <c r="M17" s="40"/>
      <c r="N17" s="40"/>
      <c r="O17" s="30"/>
    </row>
    <row r="18" spans="1:15" ht="12.75">
      <c r="A18" s="30"/>
      <c r="B18" s="76">
        <v>3</v>
      </c>
      <c r="C18" s="25" t="s">
        <v>610</v>
      </c>
      <c r="D18" s="26"/>
      <c r="E18" s="30" t="s">
        <v>602</v>
      </c>
      <c r="F18" s="40">
        <f>+F19</f>
        <v>0</v>
      </c>
      <c r="G18" s="40">
        <f aca="true" t="shared" si="5" ref="G18:M18">+G19</f>
        <v>0</v>
      </c>
      <c r="H18" s="40">
        <f t="shared" si="5"/>
        <v>28000</v>
      </c>
      <c r="I18" s="40">
        <f t="shared" si="5"/>
        <v>0</v>
      </c>
      <c r="J18" s="40">
        <f t="shared" si="5"/>
        <v>0</v>
      </c>
      <c r="K18" s="40">
        <f t="shared" si="5"/>
        <v>0</v>
      </c>
      <c r="L18" s="40">
        <f t="shared" si="5"/>
        <v>0</v>
      </c>
      <c r="M18" s="40">
        <f t="shared" si="5"/>
        <v>1680</v>
      </c>
      <c r="N18" s="40">
        <f>SUM(F18:M18)</f>
        <v>29680</v>
      </c>
      <c r="O18" s="30"/>
    </row>
    <row r="19" spans="1:15" ht="25.5">
      <c r="A19" s="30"/>
      <c r="B19" s="76"/>
      <c r="C19" s="25">
        <v>3.1</v>
      </c>
      <c r="D19" s="26" t="s">
        <v>611</v>
      </c>
      <c r="E19" s="30"/>
      <c r="F19" s="40">
        <v>0</v>
      </c>
      <c r="G19" s="40">
        <v>0</v>
      </c>
      <c r="H19" s="40">
        <f>50000-22000</f>
        <v>28000</v>
      </c>
      <c r="I19" s="40">
        <v>0</v>
      </c>
      <c r="J19" s="40">
        <v>0</v>
      </c>
      <c r="K19" s="40">
        <v>0</v>
      </c>
      <c r="L19" s="40"/>
      <c r="M19" s="40">
        <f>SUM(F19:L19)*0.06</f>
        <v>1680</v>
      </c>
      <c r="N19" s="40">
        <f>SUM(F19:M19)</f>
        <v>29680</v>
      </c>
      <c r="O19" s="30"/>
    </row>
    <row r="20" spans="1:15" ht="12.75">
      <c r="A20" s="30"/>
      <c r="B20" s="76"/>
      <c r="C20" s="25"/>
      <c r="D20" s="26"/>
      <c r="E20" s="30"/>
      <c r="F20" s="40"/>
      <c r="G20" s="40"/>
      <c r="H20" s="40"/>
      <c r="I20" s="40"/>
      <c r="J20" s="40"/>
      <c r="K20" s="40"/>
      <c r="L20" s="40"/>
      <c r="M20" s="40"/>
      <c r="N20" s="40"/>
      <c r="O20" s="30"/>
    </row>
    <row r="21" spans="1:15" ht="17.25" customHeight="1">
      <c r="A21" s="30"/>
      <c r="B21" s="76">
        <v>4</v>
      </c>
      <c r="C21" s="26" t="s">
        <v>612</v>
      </c>
      <c r="D21" s="26"/>
      <c r="E21" s="30" t="s">
        <v>602</v>
      </c>
      <c r="F21" s="40">
        <f>+F22+F23</f>
        <v>0</v>
      </c>
      <c r="G21" s="40">
        <f aca="true" t="shared" si="6" ref="G21:M21">+G22+G23</f>
        <v>0</v>
      </c>
      <c r="H21" s="40">
        <f t="shared" si="6"/>
        <v>10000</v>
      </c>
      <c r="I21" s="40">
        <f t="shared" si="6"/>
        <v>0</v>
      </c>
      <c r="J21" s="40">
        <f t="shared" si="6"/>
        <v>0</v>
      </c>
      <c r="K21" s="40">
        <f t="shared" si="6"/>
        <v>0</v>
      </c>
      <c r="L21" s="40">
        <f t="shared" si="6"/>
        <v>0</v>
      </c>
      <c r="M21" s="40">
        <f t="shared" si="6"/>
        <v>600</v>
      </c>
      <c r="N21" s="40">
        <f>SUM(F21:M21)</f>
        <v>10600</v>
      </c>
      <c r="O21" s="30"/>
    </row>
    <row r="22" spans="1:15" ht="38.25">
      <c r="A22" s="30"/>
      <c r="B22" s="76"/>
      <c r="C22" s="25">
        <v>4.1</v>
      </c>
      <c r="D22" s="26" t="s">
        <v>613</v>
      </c>
      <c r="E22" s="30"/>
      <c r="F22" s="40">
        <v>0</v>
      </c>
      <c r="G22" s="40">
        <v>0</v>
      </c>
      <c r="H22" s="40">
        <v>10000</v>
      </c>
      <c r="I22" s="40">
        <v>0</v>
      </c>
      <c r="J22" s="40">
        <v>0</v>
      </c>
      <c r="K22" s="40">
        <v>0</v>
      </c>
      <c r="L22" s="40"/>
      <c r="M22" s="40">
        <f>SUM(F22:L22)*0.06</f>
        <v>600</v>
      </c>
      <c r="N22" s="40">
        <f>SUM(F22:M22)</f>
        <v>10600</v>
      </c>
      <c r="O22" s="30"/>
    </row>
    <row r="23" spans="1:15" ht="12.75">
      <c r="A23" s="30"/>
      <c r="B23" s="76"/>
      <c r="C23" s="25">
        <v>4.2</v>
      </c>
      <c r="D23" s="26" t="s">
        <v>614</v>
      </c>
      <c r="E23" s="30"/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/>
      <c r="M23" s="40">
        <f>SUM(F23:L23)*0.06</f>
        <v>0</v>
      </c>
      <c r="N23" s="40">
        <f>SUM(F23:M23)</f>
        <v>0</v>
      </c>
      <c r="O23" s="30"/>
    </row>
    <row r="24" spans="1:15" ht="12.75">
      <c r="A24" s="30"/>
      <c r="B24" s="76"/>
      <c r="C24" s="25"/>
      <c r="D24" s="26"/>
      <c r="E24" s="30"/>
      <c r="F24" s="40"/>
      <c r="G24" s="40"/>
      <c r="H24" s="40"/>
      <c r="I24" s="40"/>
      <c r="J24" s="40"/>
      <c r="K24" s="40"/>
      <c r="L24" s="40"/>
      <c r="M24" s="40"/>
      <c r="N24" s="40"/>
      <c r="O24" s="30"/>
    </row>
    <row r="25" spans="1:15" ht="15.75" customHeight="1">
      <c r="A25" s="30"/>
      <c r="B25" s="76">
        <v>5</v>
      </c>
      <c r="C25" s="26" t="s">
        <v>7</v>
      </c>
      <c r="D25" s="26"/>
      <c r="E25" s="30" t="s">
        <v>602</v>
      </c>
      <c r="F25" s="40">
        <f>+F26+F27+F28</f>
        <v>0</v>
      </c>
      <c r="G25" s="40">
        <f aca="true" t="shared" si="7" ref="G25:L25">+G26+G27+G28</f>
        <v>0</v>
      </c>
      <c r="H25" s="40">
        <f t="shared" si="7"/>
        <v>0</v>
      </c>
      <c r="I25" s="40">
        <f t="shared" si="7"/>
        <v>0</v>
      </c>
      <c r="J25" s="40">
        <f t="shared" si="7"/>
        <v>0</v>
      </c>
      <c r="K25" s="40">
        <f t="shared" si="7"/>
        <v>0</v>
      </c>
      <c r="L25" s="40">
        <f t="shared" si="7"/>
        <v>0</v>
      </c>
      <c r="M25" s="40">
        <f>+M26+M27+M28</f>
        <v>0</v>
      </c>
      <c r="N25" s="40">
        <f>SUM(F25:M25)</f>
        <v>0</v>
      </c>
      <c r="O25" s="30"/>
    </row>
    <row r="26" spans="1:15" ht="25.5">
      <c r="A26" s="30"/>
      <c r="B26" s="76"/>
      <c r="C26" s="25">
        <v>5.1</v>
      </c>
      <c r="D26" s="26" t="s">
        <v>615</v>
      </c>
      <c r="E26" s="30"/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/>
      <c r="M26" s="40">
        <f>SUM(F26:L26)*0.06</f>
        <v>0</v>
      </c>
      <c r="N26" s="40">
        <f>SUM(F26:M26)</f>
        <v>0</v>
      </c>
      <c r="O26" s="30"/>
    </row>
    <row r="27" spans="1:15" ht="25.5">
      <c r="A27" s="30"/>
      <c r="B27" s="76"/>
      <c r="C27" s="25">
        <v>5.2</v>
      </c>
      <c r="D27" s="26" t="s">
        <v>83</v>
      </c>
      <c r="E27" s="30"/>
      <c r="F27" s="40">
        <v>0</v>
      </c>
      <c r="G27" s="40">
        <v>0</v>
      </c>
      <c r="H27" s="40">
        <f>10000-10000</f>
        <v>0</v>
      </c>
      <c r="I27" s="40">
        <v>0</v>
      </c>
      <c r="J27" s="40">
        <v>0</v>
      </c>
      <c r="K27" s="40">
        <v>0</v>
      </c>
      <c r="L27" s="40"/>
      <c r="M27" s="40">
        <f>SUM(F27:L27)*0.06</f>
        <v>0</v>
      </c>
      <c r="N27" s="40">
        <f>SUM(F27:M27)</f>
        <v>0</v>
      </c>
      <c r="O27" s="30"/>
    </row>
    <row r="28" spans="1:15" ht="12.75">
      <c r="A28" s="30"/>
      <c r="B28" s="76"/>
      <c r="C28" s="25">
        <v>5.3</v>
      </c>
      <c r="D28" s="26" t="s">
        <v>86</v>
      </c>
      <c r="E28" s="30"/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/>
      <c r="M28" s="40">
        <f>SUM(F28:L28)*0.06</f>
        <v>0</v>
      </c>
      <c r="N28" s="40">
        <f>SUM(F28:M28)</f>
        <v>0</v>
      </c>
      <c r="O28" s="30"/>
    </row>
    <row r="29" spans="1:15" ht="12.75">
      <c r="A29" s="30"/>
      <c r="B29" s="76"/>
      <c r="C29" s="25"/>
      <c r="D29" s="26"/>
      <c r="E29" s="30"/>
      <c r="F29" s="40"/>
      <c r="G29" s="40"/>
      <c r="H29" s="40"/>
      <c r="I29" s="40"/>
      <c r="J29" s="40"/>
      <c r="K29" s="40"/>
      <c r="L29" s="40"/>
      <c r="M29" s="40"/>
      <c r="N29" s="40"/>
      <c r="O29" s="30"/>
    </row>
    <row r="30" spans="1:15" ht="25.5">
      <c r="A30" s="30"/>
      <c r="B30" s="76">
        <v>6</v>
      </c>
      <c r="C30" s="26" t="s">
        <v>90</v>
      </c>
      <c r="D30" s="26"/>
      <c r="E30" s="30" t="s">
        <v>602</v>
      </c>
      <c r="F30" s="40">
        <f>SUM(F31)</f>
        <v>0</v>
      </c>
      <c r="G30" s="40">
        <f aca="true" t="shared" si="8" ref="G30:M30">SUM(G31)</f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>SUM(F30:M30)</f>
        <v>0</v>
      </c>
      <c r="O30" s="30"/>
    </row>
    <row r="31" spans="1:15" ht="12.75">
      <c r="A31" s="30"/>
      <c r="B31" s="76"/>
      <c r="C31" s="76" t="s">
        <v>8</v>
      </c>
      <c r="D31" s="26" t="s">
        <v>616</v>
      </c>
      <c r="E31" s="30"/>
      <c r="F31" s="40">
        <v>0</v>
      </c>
      <c r="G31" s="40">
        <v>0</v>
      </c>
      <c r="H31" s="40">
        <v>0</v>
      </c>
      <c r="I31" s="40">
        <f>10000-10000</f>
        <v>0</v>
      </c>
      <c r="J31" s="40">
        <v>0</v>
      </c>
      <c r="K31" s="40">
        <v>0</v>
      </c>
      <c r="L31" s="40"/>
      <c r="M31" s="40">
        <f>SUM(F31:L31)*0.06</f>
        <v>0</v>
      </c>
      <c r="N31" s="40">
        <f>SUM(F31:M31)</f>
        <v>0</v>
      </c>
      <c r="O31" s="30"/>
    </row>
    <row r="32" spans="1:15" ht="12.75">
      <c r="A32" s="30"/>
      <c r="B32" s="76"/>
      <c r="C32" s="25"/>
      <c r="D32" s="26"/>
      <c r="E32" s="30"/>
      <c r="F32" s="40"/>
      <c r="G32" s="40"/>
      <c r="H32" s="40"/>
      <c r="I32" s="40"/>
      <c r="J32" s="40"/>
      <c r="K32" s="40"/>
      <c r="L32" s="40"/>
      <c r="M32" s="40"/>
      <c r="N32" s="40"/>
      <c r="O32" s="30"/>
    </row>
    <row r="33" spans="1:15" ht="12.75">
      <c r="A33" s="30"/>
      <c r="B33" s="76">
        <v>7</v>
      </c>
      <c r="C33" s="26" t="s">
        <v>617</v>
      </c>
      <c r="D33" s="26"/>
      <c r="E33" s="30" t="s">
        <v>602</v>
      </c>
      <c r="F33" s="40">
        <f>SUM(F34)</f>
        <v>306000</v>
      </c>
      <c r="G33" s="40">
        <f aca="true" t="shared" si="9" ref="G33:L33">SUM(G34)</f>
        <v>0</v>
      </c>
      <c r="H33" s="40">
        <f t="shared" si="9"/>
        <v>0</v>
      </c>
      <c r="I33" s="40">
        <f t="shared" si="9"/>
        <v>0</v>
      </c>
      <c r="J33" s="40">
        <f t="shared" si="9"/>
        <v>0</v>
      </c>
      <c r="K33" s="40">
        <f t="shared" si="9"/>
        <v>0</v>
      </c>
      <c r="L33" s="40">
        <f t="shared" si="9"/>
        <v>0</v>
      </c>
      <c r="M33" s="40">
        <f>SUM(M34)</f>
        <v>18360</v>
      </c>
      <c r="N33" s="40">
        <f>SUM(F33:M33)</f>
        <v>324360</v>
      </c>
      <c r="O33" s="30"/>
    </row>
    <row r="34" spans="1:15" ht="12.75">
      <c r="A34" s="30"/>
      <c r="B34" s="76"/>
      <c r="C34" s="25">
        <v>7.1</v>
      </c>
      <c r="D34" s="26" t="s">
        <v>618</v>
      </c>
      <c r="E34" s="30"/>
      <c r="F34" s="40">
        <v>306000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/>
      <c r="M34" s="40">
        <f>SUM(F34:L34)*0.06</f>
        <v>18360</v>
      </c>
      <c r="N34" s="40">
        <f>SUM(F34:M34)</f>
        <v>324360</v>
      </c>
      <c r="O34" s="30"/>
    </row>
    <row r="35" spans="1:15" ht="12.75">
      <c r="A35" s="30"/>
      <c r="B35" s="76"/>
      <c r="C35" s="25"/>
      <c r="D35" s="2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0"/>
      <c r="B36" s="76"/>
      <c r="C36" s="25"/>
      <c r="D36" s="2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s="2" customFormat="1" ht="12.75">
      <c r="A37" s="48" t="s">
        <v>14</v>
      </c>
      <c r="B37" s="54"/>
      <c r="C37" s="23"/>
      <c r="D37" s="9" t="s">
        <v>343</v>
      </c>
      <c r="E37" s="3" t="s">
        <v>574</v>
      </c>
      <c r="F37" s="33">
        <f aca="true" t="shared" si="10" ref="F37:M37">F39+F45+F50+F55+F62+F67+F72</f>
        <v>516000</v>
      </c>
      <c r="G37" s="33">
        <f t="shared" si="10"/>
        <v>0</v>
      </c>
      <c r="H37" s="33">
        <f t="shared" si="10"/>
        <v>0</v>
      </c>
      <c r="I37" s="33">
        <f t="shared" si="10"/>
        <v>0</v>
      </c>
      <c r="J37" s="33">
        <f t="shared" si="10"/>
        <v>0</v>
      </c>
      <c r="K37" s="33">
        <f t="shared" si="10"/>
        <v>0</v>
      </c>
      <c r="L37" s="33">
        <f t="shared" si="10"/>
        <v>2570000</v>
      </c>
      <c r="M37" s="33">
        <f t="shared" si="10"/>
        <v>185160</v>
      </c>
      <c r="N37" s="33">
        <f>SUM(F37:M37)</f>
        <v>3271160</v>
      </c>
      <c r="O37" s="40"/>
    </row>
    <row r="38" spans="1:15" ht="12.75">
      <c r="A38" s="48"/>
      <c r="B38" s="54"/>
      <c r="C38" s="23"/>
      <c r="D38" s="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0"/>
      <c r="B39" s="76">
        <v>1</v>
      </c>
      <c r="C39" s="25" t="s">
        <v>9</v>
      </c>
      <c r="D39" s="9"/>
      <c r="E39" s="30" t="s">
        <v>575</v>
      </c>
      <c r="F39" s="30"/>
      <c r="G39" s="30"/>
      <c r="H39" s="30"/>
      <c r="I39" s="30"/>
      <c r="J39" s="30"/>
      <c r="K39" s="30"/>
      <c r="L39" s="33">
        <f>SUM(L40:L43)</f>
        <v>350000</v>
      </c>
      <c r="M39" s="30">
        <f>L39*0.06</f>
        <v>21000</v>
      </c>
      <c r="N39" s="40">
        <f>SUM(L39:M39)</f>
        <v>371000</v>
      </c>
      <c r="O39" s="40"/>
    </row>
    <row r="40" spans="1:15" ht="12.75">
      <c r="A40" s="30"/>
      <c r="C40" s="77">
        <v>1.1</v>
      </c>
      <c r="D40" s="25" t="s">
        <v>576</v>
      </c>
      <c r="E40" s="30"/>
      <c r="F40" s="40"/>
      <c r="G40" s="40"/>
      <c r="H40" s="40"/>
      <c r="J40" s="30"/>
      <c r="K40" s="30"/>
      <c r="L40" s="40">
        <v>175000</v>
      </c>
      <c r="M40" s="30">
        <f>L40*0.06</f>
        <v>10500</v>
      </c>
      <c r="N40" s="40">
        <f>SUM(L40:M40)</f>
        <v>185500</v>
      </c>
      <c r="O40" s="30"/>
    </row>
    <row r="41" spans="1:15" ht="12.75">
      <c r="A41" s="30"/>
      <c r="B41" s="76"/>
      <c r="C41" s="25">
        <v>1.2</v>
      </c>
      <c r="D41" s="25" t="s">
        <v>577</v>
      </c>
      <c r="E41" s="30"/>
      <c r="F41" s="40"/>
      <c r="G41" s="40"/>
      <c r="H41" s="40"/>
      <c r="I41" s="30"/>
      <c r="J41" s="30"/>
      <c r="K41" s="30"/>
      <c r="L41" s="40">
        <v>87500</v>
      </c>
      <c r="M41" s="30">
        <f>L41*0.06</f>
        <v>5250</v>
      </c>
      <c r="N41" s="40">
        <f>SUM(L41:M41)</f>
        <v>92750</v>
      </c>
      <c r="O41" s="30"/>
    </row>
    <row r="42" spans="1:15" ht="12.75">
      <c r="A42" s="30"/>
      <c r="B42" s="76"/>
      <c r="C42" s="25">
        <v>1.3</v>
      </c>
      <c r="D42" s="25" t="s">
        <v>578</v>
      </c>
      <c r="E42" s="30"/>
      <c r="F42" s="40"/>
      <c r="G42" s="40"/>
      <c r="H42" s="40"/>
      <c r="I42" s="30"/>
      <c r="J42" s="30"/>
      <c r="K42" s="30"/>
      <c r="L42" s="40">
        <v>52500</v>
      </c>
      <c r="M42" s="30">
        <f>L42*0.06</f>
        <v>3150</v>
      </c>
      <c r="N42" s="40">
        <f>SUM(L42:M42)</f>
        <v>55650</v>
      </c>
      <c r="O42" s="30"/>
    </row>
    <row r="43" spans="1:15" ht="12.75">
      <c r="A43" s="30"/>
      <c r="B43" s="76"/>
      <c r="C43" s="25">
        <v>1.4</v>
      </c>
      <c r="D43" s="25" t="s">
        <v>579</v>
      </c>
      <c r="E43" s="30"/>
      <c r="F43" s="40"/>
      <c r="G43" s="40"/>
      <c r="H43" s="40"/>
      <c r="I43" s="30"/>
      <c r="J43" s="30"/>
      <c r="K43" s="30"/>
      <c r="L43" s="40">
        <v>35000</v>
      </c>
      <c r="M43" s="30">
        <f>L43*0.06</f>
        <v>2100</v>
      </c>
      <c r="N43" s="40">
        <f>SUM(L43:M43)</f>
        <v>37100</v>
      </c>
      <c r="O43" s="30"/>
    </row>
    <row r="44" spans="1:15" ht="12.75">
      <c r="A44" s="30"/>
      <c r="B44" s="76"/>
      <c r="C44" s="25"/>
      <c r="D44" s="25"/>
      <c r="E44" s="30"/>
      <c r="F44" s="40"/>
      <c r="G44" s="40"/>
      <c r="H44" s="40"/>
      <c r="I44" s="30"/>
      <c r="J44" s="30"/>
      <c r="K44" s="30"/>
      <c r="L44" s="40"/>
      <c r="M44" s="30"/>
      <c r="N44" s="30"/>
      <c r="O44" s="30"/>
    </row>
    <row r="45" spans="1:15" ht="12.75">
      <c r="A45" s="30"/>
      <c r="B45" s="76">
        <v>2</v>
      </c>
      <c r="C45" s="25" t="s">
        <v>10</v>
      </c>
      <c r="D45" s="25"/>
      <c r="E45" s="30" t="s">
        <v>580</v>
      </c>
      <c r="F45" s="40"/>
      <c r="G45" s="40"/>
      <c r="H45" s="40"/>
      <c r="I45" s="30"/>
      <c r="J45" s="30"/>
      <c r="K45" s="30"/>
      <c r="L45" s="33">
        <f>SUM(L46:L48)</f>
        <v>200000</v>
      </c>
      <c r="M45" s="30">
        <f>L45*0.06</f>
        <v>12000</v>
      </c>
      <c r="N45" s="40">
        <f>SUM(L45:M45)</f>
        <v>212000</v>
      </c>
      <c r="O45" s="40"/>
    </row>
    <row r="46" spans="1:15" ht="12.75">
      <c r="A46" s="30"/>
      <c r="C46" s="77">
        <v>2.1</v>
      </c>
      <c r="D46" s="25" t="s">
        <v>576</v>
      </c>
      <c r="E46" s="30"/>
      <c r="F46" s="40"/>
      <c r="G46" s="40"/>
      <c r="H46" s="40"/>
      <c r="I46" s="30"/>
      <c r="J46" s="30"/>
      <c r="K46" s="30"/>
      <c r="L46" s="40">
        <v>120000</v>
      </c>
      <c r="M46" s="30">
        <f>L46*0.06</f>
        <v>7200</v>
      </c>
      <c r="N46" s="40">
        <f>SUM(L46:M46)</f>
        <v>127200</v>
      </c>
      <c r="O46" s="30"/>
    </row>
    <row r="47" spans="1:15" ht="12.75">
      <c r="A47" s="30"/>
      <c r="B47" s="76"/>
      <c r="C47" s="25">
        <v>2.2</v>
      </c>
      <c r="D47" s="25" t="s">
        <v>581</v>
      </c>
      <c r="E47" s="30"/>
      <c r="F47" s="40"/>
      <c r="G47" s="40"/>
      <c r="H47" s="40"/>
      <c r="I47" s="30"/>
      <c r="J47" s="30"/>
      <c r="K47" s="30"/>
      <c r="L47" s="40">
        <v>20000</v>
      </c>
      <c r="M47" s="30">
        <f>L47*0.06</f>
        <v>1200</v>
      </c>
      <c r="N47" s="40">
        <f>SUM(L47:M47)</f>
        <v>21200</v>
      </c>
      <c r="O47" s="30"/>
    </row>
    <row r="48" spans="1:15" ht="12.75">
      <c r="A48" s="30"/>
      <c r="B48" s="76"/>
      <c r="C48" s="25">
        <v>2.3</v>
      </c>
      <c r="D48" s="25" t="s">
        <v>582</v>
      </c>
      <c r="E48" s="30"/>
      <c r="F48" s="40"/>
      <c r="G48" s="40"/>
      <c r="H48" s="40"/>
      <c r="I48" s="30"/>
      <c r="J48" s="30"/>
      <c r="K48" s="30"/>
      <c r="L48" s="40">
        <v>60000</v>
      </c>
      <c r="M48" s="30">
        <f>L48*0.06</f>
        <v>3600</v>
      </c>
      <c r="N48" s="40">
        <f>SUM(L48:M48)</f>
        <v>63600</v>
      </c>
      <c r="O48" s="30"/>
    </row>
    <row r="49" spans="1:15" ht="12.75">
      <c r="A49" s="30"/>
      <c r="B49" s="76"/>
      <c r="C49" s="25"/>
      <c r="D49" s="25"/>
      <c r="E49" s="30"/>
      <c r="F49" s="40"/>
      <c r="G49" s="40"/>
      <c r="H49" s="40"/>
      <c r="I49" s="30"/>
      <c r="J49" s="30"/>
      <c r="K49" s="30"/>
      <c r="L49" s="40"/>
      <c r="M49" s="30"/>
      <c r="N49" s="30"/>
      <c r="O49" s="30"/>
    </row>
    <row r="50" spans="1:15" ht="12.75">
      <c r="A50" s="30"/>
      <c r="B50" s="76">
        <v>3</v>
      </c>
      <c r="C50" s="25" t="s">
        <v>11</v>
      </c>
      <c r="D50" s="25"/>
      <c r="E50" s="30" t="s">
        <v>583</v>
      </c>
      <c r="F50" s="40"/>
      <c r="G50" s="40"/>
      <c r="H50" s="40"/>
      <c r="I50" s="30"/>
      <c r="J50" s="30"/>
      <c r="K50" s="30"/>
      <c r="L50" s="33">
        <f>SUM(L51:L53)</f>
        <v>220000</v>
      </c>
      <c r="M50" s="30">
        <f>L50*0.06</f>
        <v>13200</v>
      </c>
      <c r="N50" s="40">
        <f>SUM(L50:M50)</f>
        <v>233200</v>
      </c>
      <c r="O50" s="40"/>
    </row>
    <row r="51" spans="1:15" ht="12.75">
      <c r="A51" s="30"/>
      <c r="C51" s="77">
        <v>3.1</v>
      </c>
      <c r="D51" s="25" t="s">
        <v>576</v>
      </c>
      <c r="E51" s="30"/>
      <c r="F51" s="40"/>
      <c r="G51" s="40"/>
      <c r="H51" s="40"/>
      <c r="I51" s="30"/>
      <c r="J51" s="30"/>
      <c r="K51" s="30"/>
      <c r="L51" s="40">
        <v>140000</v>
      </c>
      <c r="M51" s="30">
        <f>L51*0.06</f>
        <v>8400</v>
      </c>
      <c r="N51" s="40">
        <f>SUM(L51:M51)</f>
        <v>148400</v>
      </c>
      <c r="O51" s="30"/>
    </row>
    <row r="52" spans="1:15" ht="12.75">
      <c r="A52" s="30"/>
      <c r="B52" s="76"/>
      <c r="C52" s="25">
        <v>3.2</v>
      </c>
      <c r="D52" s="25" t="s">
        <v>584</v>
      </c>
      <c r="E52" s="30"/>
      <c r="F52" s="40"/>
      <c r="G52" s="40"/>
      <c r="H52" s="40"/>
      <c r="I52" s="30"/>
      <c r="J52" s="30"/>
      <c r="K52" s="30"/>
      <c r="L52" s="40">
        <v>20000</v>
      </c>
      <c r="M52" s="30">
        <f>L52*0.06</f>
        <v>1200</v>
      </c>
      <c r="N52" s="40">
        <f>SUM(L52:M52)</f>
        <v>21200</v>
      </c>
      <c r="O52" s="30"/>
    </row>
    <row r="53" spans="1:15" ht="12.75">
      <c r="A53" s="30"/>
      <c r="B53" s="76"/>
      <c r="C53" s="25">
        <v>3.3</v>
      </c>
      <c r="D53" s="25" t="s">
        <v>585</v>
      </c>
      <c r="E53" s="30"/>
      <c r="F53" s="40"/>
      <c r="G53" s="40"/>
      <c r="H53" s="40"/>
      <c r="I53" s="30"/>
      <c r="J53" s="30"/>
      <c r="K53" s="30"/>
      <c r="L53" s="40">
        <v>60000</v>
      </c>
      <c r="M53" s="30">
        <f>L53*0.06</f>
        <v>3600</v>
      </c>
      <c r="N53" s="40">
        <f>SUM(L53:M53)</f>
        <v>63600</v>
      </c>
      <c r="O53" s="30"/>
    </row>
    <row r="54" spans="1:15" ht="12.75">
      <c r="A54" s="30"/>
      <c r="B54" s="76"/>
      <c r="C54" s="25"/>
      <c r="D54" s="25"/>
      <c r="E54" s="30"/>
      <c r="F54" s="40"/>
      <c r="G54" s="40"/>
      <c r="H54" s="40"/>
      <c r="I54" s="30"/>
      <c r="J54" s="30"/>
      <c r="K54" s="30"/>
      <c r="L54" s="40"/>
      <c r="M54" s="30"/>
      <c r="N54" s="30"/>
      <c r="O54" s="30"/>
    </row>
    <row r="55" spans="1:15" ht="12.75">
      <c r="A55" s="30"/>
      <c r="B55" s="76">
        <v>4</v>
      </c>
      <c r="C55" s="25" t="s">
        <v>586</v>
      </c>
      <c r="D55" s="9" t="s">
        <v>106</v>
      </c>
      <c r="E55" s="30" t="s">
        <v>587</v>
      </c>
      <c r="F55" s="40"/>
      <c r="G55" s="40"/>
      <c r="H55" s="40"/>
      <c r="I55" s="30"/>
      <c r="J55" s="30"/>
      <c r="K55" s="30"/>
      <c r="L55" s="33">
        <f>SUM(L56:L60)</f>
        <v>1200000</v>
      </c>
      <c r="M55" s="30">
        <f aca="true" t="shared" si="11" ref="M55:M60">L55*0.06</f>
        <v>72000</v>
      </c>
      <c r="N55" s="40">
        <f aca="true" t="shared" si="12" ref="N55:N60">SUM(L55:M55)</f>
        <v>1272000</v>
      </c>
      <c r="O55" s="40"/>
    </row>
    <row r="56" spans="1:15" ht="12.75">
      <c r="A56" s="30"/>
      <c r="C56" s="77">
        <v>4.1</v>
      </c>
      <c r="D56" s="25" t="s">
        <v>588</v>
      </c>
      <c r="E56" s="3"/>
      <c r="F56" s="40"/>
      <c r="G56" s="40"/>
      <c r="H56" s="40"/>
      <c r="I56" s="30"/>
      <c r="J56" s="30"/>
      <c r="K56" s="30"/>
      <c r="L56" s="40">
        <v>840000</v>
      </c>
      <c r="M56" s="30">
        <f t="shared" si="11"/>
        <v>50400</v>
      </c>
      <c r="N56" s="40">
        <f t="shared" si="12"/>
        <v>890400</v>
      </c>
      <c r="O56" s="30"/>
    </row>
    <row r="57" spans="1:15" ht="12.75">
      <c r="A57" s="30"/>
      <c r="B57" s="76"/>
      <c r="C57" s="25">
        <v>4.2</v>
      </c>
      <c r="D57" s="25" t="s">
        <v>589</v>
      </c>
      <c r="E57" s="3"/>
      <c r="F57" s="40"/>
      <c r="G57" s="40"/>
      <c r="H57" s="40"/>
      <c r="I57" s="30"/>
      <c r="J57" s="30"/>
      <c r="K57" s="30"/>
      <c r="L57" s="40">
        <v>80000</v>
      </c>
      <c r="M57" s="30">
        <f t="shared" si="11"/>
        <v>4800</v>
      </c>
      <c r="N57" s="40">
        <f t="shared" si="12"/>
        <v>84800</v>
      </c>
      <c r="O57" s="30"/>
    </row>
    <row r="58" spans="1:15" ht="12.75">
      <c r="A58" s="30"/>
      <c r="B58" s="76"/>
      <c r="C58" s="25">
        <v>4.3</v>
      </c>
      <c r="D58" s="25" t="s">
        <v>590</v>
      </c>
      <c r="E58" s="3"/>
      <c r="F58" s="40"/>
      <c r="G58" s="40"/>
      <c r="H58" s="40"/>
      <c r="I58" s="30"/>
      <c r="J58" s="30"/>
      <c r="K58" s="30"/>
      <c r="L58" s="40">
        <v>80000</v>
      </c>
      <c r="M58" s="30">
        <f t="shared" si="11"/>
        <v>4800</v>
      </c>
      <c r="N58" s="40">
        <f t="shared" si="12"/>
        <v>84800</v>
      </c>
      <c r="O58" s="30"/>
    </row>
    <row r="59" spans="1:15" ht="12.75">
      <c r="A59" s="30"/>
      <c r="B59" s="76"/>
      <c r="C59" s="25">
        <v>4.4</v>
      </c>
      <c r="D59" s="25" t="s">
        <v>591</v>
      </c>
      <c r="E59" s="3"/>
      <c r="F59" s="40"/>
      <c r="G59" s="40"/>
      <c r="H59" s="40"/>
      <c r="I59" s="30"/>
      <c r="J59" s="30"/>
      <c r="K59" s="30"/>
      <c r="L59" s="40">
        <v>80000</v>
      </c>
      <c r="M59" s="30">
        <f t="shared" si="11"/>
        <v>4800</v>
      </c>
      <c r="N59" s="40">
        <f t="shared" si="12"/>
        <v>84800</v>
      </c>
      <c r="O59" s="30"/>
    </row>
    <row r="60" spans="1:15" ht="12.75">
      <c r="A60" s="30"/>
      <c r="B60" s="76"/>
      <c r="C60" s="25">
        <v>4.5</v>
      </c>
      <c r="D60" s="25" t="s">
        <v>592</v>
      </c>
      <c r="E60" s="3"/>
      <c r="F60" s="40"/>
      <c r="G60" s="40"/>
      <c r="H60" s="40"/>
      <c r="I60" s="30"/>
      <c r="J60" s="30"/>
      <c r="K60" s="30"/>
      <c r="L60" s="40">
        <v>120000</v>
      </c>
      <c r="M60" s="30">
        <f t="shared" si="11"/>
        <v>7200</v>
      </c>
      <c r="N60" s="40">
        <f t="shared" si="12"/>
        <v>127200</v>
      </c>
      <c r="O60" s="30"/>
    </row>
    <row r="61" spans="1:15" ht="12.75">
      <c r="A61" s="30"/>
      <c r="B61" s="76"/>
      <c r="C61" s="25"/>
      <c r="D61" s="9"/>
      <c r="E61" s="3"/>
      <c r="F61" s="40"/>
      <c r="G61" s="40"/>
      <c r="H61" s="40"/>
      <c r="I61" s="30"/>
      <c r="J61" s="30"/>
      <c r="K61" s="30"/>
      <c r="L61" s="40"/>
      <c r="M61" s="30"/>
      <c r="N61" s="30"/>
      <c r="O61" s="30"/>
    </row>
    <row r="62" spans="1:15" ht="12.75">
      <c r="A62" s="30"/>
      <c r="B62" s="76">
        <v>5</v>
      </c>
      <c r="C62" s="25" t="s">
        <v>593</v>
      </c>
      <c r="D62" s="25"/>
      <c r="E62" s="30" t="s">
        <v>594</v>
      </c>
      <c r="F62" s="40"/>
      <c r="G62" s="40"/>
      <c r="H62" s="40"/>
      <c r="I62" s="30"/>
      <c r="J62" s="30"/>
      <c r="K62" s="30"/>
      <c r="L62" s="33">
        <v>300000</v>
      </c>
      <c r="M62" s="30">
        <f>L62*0.06</f>
        <v>18000</v>
      </c>
      <c r="N62" s="40">
        <f>SUM(L62:M62)</f>
        <v>318000</v>
      </c>
      <c r="O62" s="30"/>
    </row>
    <row r="63" spans="1:15" ht="12.75">
      <c r="A63" s="30"/>
      <c r="C63" s="77">
        <v>5.1</v>
      </c>
      <c r="D63" s="25" t="s">
        <v>576</v>
      </c>
      <c r="E63" s="30"/>
      <c r="F63" s="40"/>
      <c r="G63" s="40"/>
      <c r="H63" s="40"/>
      <c r="I63" s="30"/>
      <c r="J63" s="30"/>
      <c r="K63" s="30"/>
      <c r="L63" s="40"/>
      <c r="M63" s="30"/>
      <c r="N63" s="30"/>
      <c r="O63" s="30"/>
    </row>
    <row r="64" spans="1:15" ht="12.75">
      <c r="A64" s="30"/>
      <c r="B64" s="76"/>
      <c r="C64" s="25">
        <v>5.2</v>
      </c>
      <c r="D64" s="25" t="s">
        <v>595</v>
      </c>
      <c r="E64" s="30"/>
      <c r="F64" s="40"/>
      <c r="G64" s="40"/>
      <c r="H64" s="40"/>
      <c r="I64" s="30"/>
      <c r="J64" s="30"/>
      <c r="K64" s="30"/>
      <c r="L64" s="40"/>
      <c r="M64" s="30"/>
      <c r="N64" s="30"/>
      <c r="O64" s="30"/>
    </row>
    <row r="65" spans="1:15" ht="12.75">
      <c r="A65" s="30"/>
      <c r="B65" s="76"/>
      <c r="C65" s="25">
        <v>5.3</v>
      </c>
      <c r="D65" s="25" t="s">
        <v>596</v>
      </c>
      <c r="E65" s="30"/>
      <c r="F65" s="40"/>
      <c r="G65" s="40"/>
      <c r="H65" s="40"/>
      <c r="I65" s="30"/>
      <c r="J65" s="30"/>
      <c r="K65" s="30"/>
      <c r="L65" s="40"/>
      <c r="M65" s="30"/>
      <c r="N65" s="30"/>
      <c r="O65" s="30"/>
    </row>
    <row r="66" spans="1:15" ht="12.75">
      <c r="A66" s="30"/>
      <c r="B66" s="76"/>
      <c r="C66" s="25"/>
      <c r="D66" s="25"/>
      <c r="E66" s="30"/>
      <c r="F66" s="40"/>
      <c r="G66" s="40"/>
      <c r="H66" s="40"/>
      <c r="I66" s="30"/>
      <c r="J66" s="30"/>
      <c r="K66" s="30"/>
      <c r="L66" s="40"/>
      <c r="M66" s="30"/>
      <c r="N66" s="30"/>
      <c r="O66" s="30"/>
    </row>
    <row r="67" spans="1:15" ht="12.75">
      <c r="A67" s="30"/>
      <c r="B67" s="76">
        <v>6</v>
      </c>
      <c r="C67" s="25" t="s">
        <v>12</v>
      </c>
      <c r="D67" s="25" t="s">
        <v>106</v>
      </c>
      <c r="E67" s="30" t="s">
        <v>597</v>
      </c>
      <c r="F67" s="40"/>
      <c r="G67" s="40"/>
      <c r="H67" s="40"/>
      <c r="I67" s="30"/>
      <c r="J67" s="30"/>
      <c r="K67" s="30"/>
      <c r="L67" s="33">
        <v>300000</v>
      </c>
      <c r="M67" s="30">
        <f>L67*0.06</f>
        <v>18000</v>
      </c>
      <c r="N67" s="40">
        <f>SUM(L67:M67)</f>
        <v>318000</v>
      </c>
      <c r="O67" s="30"/>
    </row>
    <row r="68" spans="1:15" ht="12.75">
      <c r="A68" s="30"/>
      <c r="C68" s="77">
        <v>6.1</v>
      </c>
      <c r="D68" s="25" t="s">
        <v>576</v>
      </c>
      <c r="E68" s="30"/>
      <c r="F68" s="40"/>
      <c r="G68" s="40"/>
      <c r="H68" s="40"/>
      <c r="I68" s="30"/>
      <c r="J68" s="30"/>
      <c r="K68" s="30"/>
      <c r="L68" s="40"/>
      <c r="M68" s="30"/>
      <c r="N68" s="30"/>
      <c r="O68" s="30"/>
    </row>
    <row r="69" spans="1:15" ht="12.75">
      <c r="A69" s="30"/>
      <c r="B69" s="76"/>
      <c r="C69" s="25">
        <v>6.2</v>
      </c>
      <c r="D69" s="25" t="s">
        <v>595</v>
      </c>
      <c r="E69" s="30"/>
      <c r="F69" s="40"/>
      <c r="G69" s="40"/>
      <c r="H69" s="40"/>
      <c r="I69" s="30"/>
      <c r="J69" s="30"/>
      <c r="K69" s="30"/>
      <c r="L69" s="40"/>
      <c r="M69" s="30"/>
      <c r="N69" s="30"/>
      <c r="O69" s="30"/>
    </row>
    <row r="70" spans="1:15" ht="12.75">
      <c r="A70" s="30"/>
      <c r="B70" s="76"/>
      <c r="C70" s="25">
        <v>6.3</v>
      </c>
      <c r="D70" s="41" t="s">
        <v>598</v>
      </c>
      <c r="E70" s="30"/>
      <c r="F70" s="40"/>
      <c r="G70" s="40"/>
      <c r="H70" s="40"/>
      <c r="I70" s="30"/>
      <c r="J70" s="30"/>
      <c r="K70" s="30"/>
      <c r="L70" s="40"/>
      <c r="M70" s="30"/>
      <c r="N70" s="30"/>
      <c r="O70" s="30"/>
    </row>
    <row r="71" spans="1:15" ht="12.75">
      <c r="A71" s="30"/>
      <c r="B71" s="76"/>
      <c r="C71" s="25"/>
      <c r="D71" s="25"/>
      <c r="E71" s="30"/>
      <c r="F71" s="40"/>
      <c r="G71" s="40"/>
      <c r="H71" s="40"/>
      <c r="I71" s="30"/>
      <c r="J71" s="30"/>
      <c r="K71" s="30"/>
      <c r="L71" s="40"/>
      <c r="M71" s="30"/>
      <c r="N71" s="30"/>
      <c r="O71" s="30"/>
    </row>
    <row r="72" spans="1:15" ht="12.75">
      <c r="A72" s="30"/>
      <c r="B72" s="76">
        <v>7</v>
      </c>
      <c r="C72" s="25" t="s">
        <v>13</v>
      </c>
      <c r="D72" s="25" t="s">
        <v>106</v>
      </c>
      <c r="E72" s="30"/>
      <c r="F72" s="40">
        <f>SUM(F73:F74)</f>
        <v>516000</v>
      </c>
      <c r="G72" s="40">
        <f aca="true" t="shared" si="13" ref="G72:L72">SUM(G73:G74)</f>
        <v>0</v>
      </c>
      <c r="H72" s="40">
        <f t="shared" si="13"/>
        <v>0</v>
      </c>
      <c r="I72" s="40">
        <f t="shared" si="13"/>
        <v>0</v>
      </c>
      <c r="J72" s="40">
        <f t="shared" si="13"/>
        <v>0</v>
      </c>
      <c r="K72" s="40">
        <f t="shared" si="13"/>
        <v>0</v>
      </c>
      <c r="L72" s="40">
        <f t="shared" si="13"/>
        <v>0</v>
      </c>
      <c r="M72" s="30">
        <f>SUM(F72:L72)*0.06</f>
        <v>30960</v>
      </c>
      <c r="N72" s="40">
        <f>SUM(F72:M72)</f>
        <v>546960</v>
      </c>
      <c r="O72" s="40"/>
    </row>
    <row r="73" spans="1:15" ht="12.75">
      <c r="A73" s="30"/>
      <c r="C73" s="77">
        <v>7.1</v>
      </c>
      <c r="D73" s="26" t="s">
        <v>599</v>
      </c>
      <c r="E73" s="30"/>
      <c r="F73" s="40">
        <v>366000</v>
      </c>
      <c r="G73" s="40"/>
      <c r="H73" s="40"/>
      <c r="I73" s="30"/>
      <c r="J73" s="30"/>
      <c r="K73" s="30"/>
      <c r="L73" s="30"/>
      <c r="M73" s="30">
        <f>SUM(F73:L73)*0.06</f>
        <v>21960</v>
      </c>
      <c r="N73" s="40">
        <f>SUM(F73:M73)</f>
        <v>387960</v>
      </c>
      <c r="O73" s="30"/>
    </row>
    <row r="74" spans="1:15" ht="12.75">
      <c r="A74" s="30"/>
      <c r="B74" s="76"/>
      <c r="C74" s="77">
        <v>7.2</v>
      </c>
      <c r="D74" s="25" t="s">
        <v>600</v>
      </c>
      <c r="E74" s="30"/>
      <c r="F74" s="40">
        <v>150000</v>
      </c>
      <c r="G74" s="42"/>
      <c r="H74" s="40"/>
      <c r="I74" s="30"/>
      <c r="J74" s="30"/>
      <c r="K74" s="30"/>
      <c r="L74" s="30"/>
      <c r="M74" s="30">
        <f>SUM(F74:L74)*0.06</f>
        <v>9000</v>
      </c>
      <c r="N74" s="40">
        <f>SUM(F74:M74)</f>
        <v>159000</v>
      </c>
      <c r="O74" s="30"/>
    </row>
    <row r="75" spans="1:15" ht="12.75">
      <c r="A75" s="30"/>
      <c r="B75" s="76"/>
      <c r="E75" s="30"/>
      <c r="F75" s="40"/>
      <c r="G75" s="40"/>
      <c r="H75" s="40"/>
      <c r="I75" s="30"/>
      <c r="J75" s="30"/>
      <c r="K75" s="30"/>
      <c r="L75" s="40"/>
      <c r="M75" s="30"/>
      <c r="N75" s="30"/>
      <c r="O75" s="30"/>
    </row>
    <row r="76" spans="1:15" ht="14.25">
      <c r="A76" s="30"/>
      <c r="B76" s="76"/>
      <c r="C76" s="36"/>
      <c r="D76" s="25"/>
      <c r="E76" s="30"/>
      <c r="F76" s="30"/>
      <c r="G76" s="30"/>
      <c r="H76" s="30"/>
      <c r="I76" s="30"/>
      <c r="J76" s="30"/>
      <c r="K76" s="30"/>
      <c r="L76" s="30">
        <f>SUM(E76:K76)*0.06</f>
        <v>0</v>
      </c>
      <c r="M76" s="30"/>
      <c r="N76" s="30"/>
      <c r="O76" s="30"/>
    </row>
  </sheetData>
  <printOptions gridLines="1"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5" r:id="rId1"/>
  <headerFooter alignWithMargins="0">
    <oddHeader>&amp;R&amp;8Schedule 3</oddHeader>
    <oddFooter>&amp;R&amp;8Page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Q45"/>
  <sheetViews>
    <sheetView zoomScale="60" zoomScaleNormal="60" workbookViewId="0" topLeftCell="A1">
      <selection activeCell="L19" sqref="L19"/>
    </sheetView>
  </sheetViews>
  <sheetFormatPr defaultColWidth="9.140625" defaultRowHeight="12.75"/>
  <cols>
    <col min="1" max="1" width="11.8515625" style="30" customWidth="1"/>
    <col min="2" max="2" width="4.00390625" style="25" bestFit="1" customWidth="1"/>
    <col min="3" max="3" width="21.421875" style="25" customWidth="1"/>
    <col min="4" max="4" width="6.57421875" style="25" customWidth="1"/>
    <col min="5" max="5" width="31.8515625" style="26" customWidth="1"/>
    <col min="6" max="6" width="8.140625" style="30" customWidth="1"/>
    <col min="7" max="7" width="14.421875" style="30" customWidth="1"/>
    <col min="8" max="8" width="13.421875" style="30" customWidth="1"/>
    <col min="9" max="9" width="12.7109375" style="30" customWidth="1"/>
    <col min="10" max="10" width="13.00390625" style="30" customWidth="1"/>
    <col min="11" max="11" width="14.28125" style="30" customWidth="1"/>
    <col min="12" max="12" width="11.421875" style="30" customWidth="1"/>
    <col min="13" max="13" width="14.28125" style="30" customWidth="1"/>
    <col min="14" max="14" width="13.421875" style="24" bestFit="1" customWidth="1"/>
    <col min="16" max="16" width="14.140625" style="0" customWidth="1"/>
    <col min="17" max="17" width="15.140625" style="105" customWidth="1"/>
  </cols>
  <sheetData>
    <row r="1" spans="1:17" ht="15.75">
      <c r="A1" s="14" t="s">
        <v>685</v>
      </c>
      <c r="C1" s="9"/>
      <c r="D1" s="9"/>
      <c r="Q1" s="104"/>
    </row>
    <row r="2" spans="1:17" s="45" customFormat="1" ht="34.5" customHeight="1">
      <c r="A2" s="18" t="s">
        <v>66</v>
      </c>
      <c r="B2" s="44"/>
      <c r="C2" s="18" t="s">
        <v>172</v>
      </c>
      <c r="D2" s="44"/>
      <c r="E2" s="18" t="s">
        <v>67</v>
      </c>
      <c r="F2" s="18" t="s">
        <v>325</v>
      </c>
      <c r="G2" s="18" t="s">
        <v>61</v>
      </c>
      <c r="H2" s="18" t="s">
        <v>62</v>
      </c>
      <c r="I2" s="18" t="s">
        <v>323</v>
      </c>
      <c r="J2" s="18" t="s">
        <v>63</v>
      </c>
      <c r="K2" s="18" t="s">
        <v>324</v>
      </c>
      <c r="L2" s="21" t="s">
        <v>64</v>
      </c>
      <c r="M2" s="21" t="s">
        <v>65</v>
      </c>
      <c r="Q2" s="105"/>
    </row>
    <row r="3" spans="1:17" s="38" customFormat="1" ht="18.75" customHeight="1">
      <c r="A3" s="15" t="s">
        <v>666</v>
      </c>
      <c r="B3" s="25"/>
      <c r="C3" s="16"/>
      <c r="D3" s="25"/>
      <c r="E3" s="25"/>
      <c r="F3" s="30"/>
      <c r="G3" s="30"/>
      <c r="H3" s="3"/>
      <c r="I3" s="3"/>
      <c r="J3" s="3"/>
      <c r="K3" s="3"/>
      <c r="L3" s="3"/>
      <c r="M3" s="3"/>
      <c r="Q3" s="105"/>
    </row>
    <row r="4" spans="1:17" s="35" customFormat="1" ht="16.5" customHeight="1">
      <c r="A4" s="11"/>
      <c r="B4" s="27"/>
      <c r="C4" s="37"/>
      <c r="D4" s="27"/>
      <c r="E4" s="27" t="s">
        <v>330</v>
      </c>
      <c r="F4" s="11"/>
      <c r="G4" s="5">
        <f>G6+'ACSM part2'!G7+'ACSM part3'!F5</f>
        <v>1648556</v>
      </c>
      <c r="H4" s="5">
        <f>H6+'ACSM part2'!H7+'ACSM part3'!G5</f>
        <v>380000</v>
      </c>
      <c r="I4" s="5">
        <f>I6+'ACSM part2'!I7+'ACSM part3'!H5</f>
        <v>1260000</v>
      </c>
      <c r="J4" s="5">
        <f>J6+'ACSM part2'!J7+'ACSM part3'!I5</f>
        <v>627000</v>
      </c>
      <c r="K4" s="5">
        <f>K6+'ACSM part2'!K7+'ACSM part3'!J5</f>
        <v>155000</v>
      </c>
      <c r="L4" s="5">
        <f>L6+'ACSM part2'!M7+'ACSM part3'!K5</f>
        <v>244233.36</v>
      </c>
      <c r="M4" s="5">
        <f>SUM(G4:L4)</f>
        <v>4314789.36</v>
      </c>
      <c r="N4" s="57"/>
      <c r="P4" s="56"/>
      <c r="Q4" s="105"/>
    </row>
    <row r="5" spans="3:13" ht="12.75" customHeight="1">
      <c r="C5" s="16"/>
      <c r="E5" s="25"/>
      <c r="H5" s="3"/>
      <c r="I5" s="3"/>
      <c r="J5" s="3"/>
      <c r="K5" s="3"/>
      <c r="L5" s="3"/>
      <c r="M5" s="3"/>
    </row>
    <row r="6" spans="1:17" s="2" customFormat="1" ht="14.25">
      <c r="A6" s="3" t="s">
        <v>328</v>
      </c>
      <c r="B6" s="9"/>
      <c r="C6" s="9"/>
      <c r="D6" s="9"/>
      <c r="E6" s="16" t="s">
        <v>343</v>
      </c>
      <c r="F6" s="3"/>
      <c r="G6" s="33">
        <f aca="true" t="shared" si="0" ref="G6:L6">+G8+G15+G18+G22+G24+G26+G29+G31+G33+G35+G38+G40+G42</f>
        <v>910000</v>
      </c>
      <c r="H6" s="33">
        <f t="shared" si="0"/>
        <v>155000</v>
      </c>
      <c r="I6" s="33">
        <f t="shared" si="0"/>
        <v>425000</v>
      </c>
      <c r="J6" s="33">
        <f t="shared" si="0"/>
        <v>240000</v>
      </c>
      <c r="K6" s="33">
        <f t="shared" si="0"/>
        <v>120000</v>
      </c>
      <c r="L6" s="33">
        <f t="shared" si="0"/>
        <v>111000</v>
      </c>
      <c r="M6" s="33">
        <f>SUM(G6:L6)</f>
        <v>1961000</v>
      </c>
      <c r="N6" s="40"/>
      <c r="Q6" s="105"/>
    </row>
    <row r="7" spans="3:13" ht="14.25">
      <c r="C7" s="17"/>
      <c r="D7" s="17"/>
      <c r="G7" s="40"/>
      <c r="H7" s="40"/>
      <c r="I7" s="40"/>
      <c r="J7" s="40"/>
      <c r="K7" s="40"/>
      <c r="L7" s="40"/>
      <c r="M7" s="40"/>
    </row>
    <row r="8" spans="2:13" ht="14.25">
      <c r="B8" s="25">
        <v>1</v>
      </c>
      <c r="C8" s="26" t="s">
        <v>128</v>
      </c>
      <c r="D8" s="26"/>
      <c r="F8" s="30" t="s">
        <v>129</v>
      </c>
      <c r="G8" s="40">
        <f aca="true" t="shared" si="1" ref="G8:L8">+G9+G10+G11+G12+G13+G14</f>
        <v>0</v>
      </c>
      <c r="H8" s="40">
        <f t="shared" si="1"/>
        <v>20000</v>
      </c>
      <c r="I8" s="40">
        <f t="shared" si="1"/>
        <v>60000</v>
      </c>
      <c r="J8" s="40">
        <f t="shared" si="1"/>
        <v>0</v>
      </c>
      <c r="K8" s="40">
        <f t="shared" si="1"/>
        <v>30000</v>
      </c>
      <c r="L8" s="40">
        <f t="shared" si="1"/>
        <v>6600</v>
      </c>
      <c r="M8" s="40">
        <f aca="true" t="shared" si="2" ref="M8:M14">SUM(G8:L8)</f>
        <v>116600</v>
      </c>
    </row>
    <row r="9" spans="4:13" ht="14.25">
      <c r="D9" s="25">
        <v>1.1</v>
      </c>
      <c r="E9" s="26" t="s">
        <v>130</v>
      </c>
      <c r="G9" s="40">
        <v>0</v>
      </c>
      <c r="H9" s="40">
        <f>10000</f>
        <v>10000</v>
      </c>
      <c r="I9" s="40">
        <f>30000-(30000)</f>
        <v>0</v>
      </c>
      <c r="J9" s="40">
        <v>0</v>
      </c>
      <c r="K9" s="40">
        <v>0</v>
      </c>
      <c r="L9" s="40">
        <f aca="true" t="shared" si="3" ref="L9:L14">SUM(G9:K9)*0.06</f>
        <v>600</v>
      </c>
      <c r="M9" s="40">
        <f t="shared" si="2"/>
        <v>10600</v>
      </c>
    </row>
    <row r="10" spans="4:13" ht="25.5">
      <c r="D10" s="25">
        <v>1.2</v>
      </c>
      <c r="E10" s="26" t="s">
        <v>131</v>
      </c>
      <c r="G10" s="40">
        <v>0</v>
      </c>
      <c r="H10" s="40">
        <v>0</v>
      </c>
      <c r="I10" s="40">
        <v>0</v>
      </c>
      <c r="J10" s="40">
        <v>0</v>
      </c>
      <c r="K10" s="40">
        <f>(40000)-10000</f>
        <v>30000</v>
      </c>
      <c r="L10" s="40">
        <f t="shared" si="3"/>
        <v>1800</v>
      </c>
      <c r="M10" s="40">
        <f t="shared" si="2"/>
        <v>31800</v>
      </c>
    </row>
    <row r="11" spans="4:13" ht="14.25">
      <c r="D11" s="25">
        <v>1.3</v>
      </c>
      <c r="E11" s="26" t="s">
        <v>132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f t="shared" si="3"/>
        <v>0</v>
      </c>
      <c r="M11" s="40">
        <f t="shared" si="2"/>
        <v>0</v>
      </c>
    </row>
    <row r="12" spans="4:13" ht="14.25">
      <c r="D12" s="25">
        <v>1.4</v>
      </c>
      <c r="E12" s="26" t="s">
        <v>133</v>
      </c>
      <c r="G12" s="40">
        <v>0</v>
      </c>
      <c r="H12" s="40">
        <v>10000</v>
      </c>
      <c r="I12" s="40">
        <f>60000-20000</f>
        <v>40000</v>
      </c>
      <c r="J12" s="40">
        <v>0</v>
      </c>
      <c r="K12" s="40">
        <v>0</v>
      </c>
      <c r="L12" s="40">
        <f t="shared" si="3"/>
        <v>3000</v>
      </c>
      <c r="M12" s="40">
        <f t="shared" si="2"/>
        <v>53000</v>
      </c>
    </row>
    <row r="13" spans="4:13" ht="14.25">
      <c r="D13" s="25">
        <v>1.5</v>
      </c>
      <c r="E13" s="26" t="s">
        <v>134</v>
      </c>
      <c r="G13" s="40">
        <v>0</v>
      </c>
      <c r="H13" s="40">
        <v>0</v>
      </c>
      <c r="I13" s="40">
        <v>20000</v>
      </c>
      <c r="J13" s="40">
        <v>0</v>
      </c>
      <c r="K13" s="40">
        <v>0</v>
      </c>
      <c r="L13" s="40">
        <f t="shared" si="3"/>
        <v>1200</v>
      </c>
      <c r="M13" s="40">
        <f t="shared" si="2"/>
        <v>21200</v>
      </c>
    </row>
    <row r="14" spans="4:13" ht="14.25">
      <c r="D14" s="25">
        <v>1.6</v>
      </c>
      <c r="E14" s="26" t="s">
        <v>135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f t="shared" si="3"/>
        <v>0</v>
      </c>
      <c r="M14" s="40">
        <f t="shared" si="2"/>
        <v>0</v>
      </c>
    </row>
    <row r="15" spans="2:13" ht="14.25">
      <c r="B15" s="25">
        <v>2</v>
      </c>
      <c r="C15" s="26" t="s">
        <v>136</v>
      </c>
      <c r="D15" s="26"/>
      <c r="F15" s="30" t="s">
        <v>129</v>
      </c>
      <c r="G15" s="40">
        <f aca="true" t="shared" si="4" ref="G15:L15">+G16+G17</f>
        <v>0</v>
      </c>
      <c r="H15" s="40">
        <f t="shared" si="4"/>
        <v>50000</v>
      </c>
      <c r="I15" s="40">
        <f t="shared" si="4"/>
        <v>0</v>
      </c>
      <c r="J15" s="40">
        <f t="shared" si="4"/>
        <v>100000</v>
      </c>
      <c r="K15" s="40">
        <f t="shared" si="4"/>
        <v>0</v>
      </c>
      <c r="L15" s="40">
        <f t="shared" si="4"/>
        <v>9000</v>
      </c>
      <c r="M15" s="40">
        <f aca="true" t="shared" si="5" ref="M15:M45">SUM(G15:L15)</f>
        <v>159000</v>
      </c>
    </row>
    <row r="16" spans="4:13" ht="14.25">
      <c r="D16" s="25">
        <v>2.1</v>
      </c>
      <c r="E16" s="26" t="s">
        <v>137</v>
      </c>
      <c r="G16" s="40">
        <v>0</v>
      </c>
      <c r="H16" s="40">
        <v>20000</v>
      </c>
      <c r="I16" s="40">
        <v>0</v>
      </c>
      <c r="J16" s="40">
        <f>150000-(50000)</f>
        <v>100000</v>
      </c>
      <c r="K16" s="40">
        <v>0</v>
      </c>
      <c r="L16" s="40">
        <f>SUM(G16:K16)*0.06</f>
        <v>7200</v>
      </c>
      <c r="M16" s="40">
        <f t="shared" si="5"/>
        <v>127200</v>
      </c>
    </row>
    <row r="17" spans="4:13" ht="25.5">
      <c r="D17" s="25">
        <v>2.2</v>
      </c>
      <c r="E17" s="26" t="s">
        <v>138</v>
      </c>
      <c r="G17" s="40">
        <v>0</v>
      </c>
      <c r="H17" s="40">
        <f>50000-20000</f>
        <v>30000</v>
      </c>
      <c r="I17" s="40">
        <v>0</v>
      </c>
      <c r="J17" s="40">
        <v>0</v>
      </c>
      <c r="K17" s="40">
        <v>0</v>
      </c>
      <c r="L17" s="40">
        <f>SUM(G17:K17)*0.06</f>
        <v>1800</v>
      </c>
      <c r="M17" s="40">
        <f t="shared" si="5"/>
        <v>31800</v>
      </c>
    </row>
    <row r="18" spans="2:13" ht="14.25">
      <c r="B18" s="25">
        <v>3</v>
      </c>
      <c r="C18" s="25" t="s">
        <v>139</v>
      </c>
      <c r="F18" s="30" t="s">
        <v>129</v>
      </c>
      <c r="G18" s="40">
        <f aca="true" t="shared" si="6" ref="G18:L18">+G19+G20+G21</f>
        <v>0</v>
      </c>
      <c r="H18" s="40">
        <f t="shared" si="6"/>
        <v>30000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t="shared" si="6"/>
        <v>1800</v>
      </c>
      <c r="M18" s="40">
        <f t="shared" si="5"/>
        <v>31800</v>
      </c>
    </row>
    <row r="19" spans="4:13" ht="25.5">
      <c r="D19" s="25">
        <v>3.1</v>
      </c>
      <c r="E19" s="26" t="s">
        <v>140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f>SUM(G19:K19)*0.06</f>
        <v>0</v>
      </c>
      <c r="M19" s="40">
        <f t="shared" si="5"/>
        <v>0</v>
      </c>
    </row>
    <row r="20" spans="4:13" ht="14.25">
      <c r="D20" s="25">
        <v>3.2</v>
      </c>
      <c r="E20" s="26" t="s">
        <v>141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>SUM(G20:K20)*0.06</f>
        <v>0</v>
      </c>
      <c r="M20" s="40">
        <f t="shared" si="5"/>
        <v>0</v>
      </c>
    </row>
    <row r="21" spans="4:13" ht="14.25">
      <c r="D21" s="25">
        <v>3.3</v>
      </c>
      <c r="E21" s="26" t="s">
        <v>142</v>
      </c>
      <c r="G21" s="40">
        <v>0</v>
      </c>
      <c r="H21" s="40">
        <v>30000</v>
      </c>
      <c r="I21" s="40">
        <v>0</v>
      </c>
      <c r="J21" s="40">
        <v>0</v>
      </c>
      <c r="K21" s="40">
        <v>0</v>
      </c>
      <c r="L21" s="40">
        <f>SUM(G21:K21)*0.06</f>
        <v>1800</v>
      </c>
      <c r="M21" s="40">
        <f t="shared" si="5"/>
        <v>31800</v>
      </c>
    </row>
    <row r="22" spans="2:13" ht="14.25">
      <c r="B22" s="25">
        <v>4</v>
      </c>
      <c r="C22" s="25" t="s">
        <v>143</v>
      </c>
      <c r="F22" s="30" t="s">
        <v>129</v>
      </c>
      <c r="G22" s="40">
        <f aca="true" t="shared" si="7" ref="G22:L22">+G23</f>
        <v>0</v>
      </c>
      <c r="H22" s="40">
        <f t="shared" si="7"/>
        <v>30000</v>
      </c>
      <c r="I22" s="40">
        <f t="shared" si="7"/>
        <v>90000</v>
      </c>
      <c r="J22" s="40">
        <f t="shared" si="7"/>
        <v>0</v>
      </c>
      <c r="K22" s="40">
        <f t="shared" si="7"/>
        <v>0</v>
      </c>
      <c r="L22" s="40">
        <f t="shared" si="7"/>
        <v>7200</v>
      </c>
      <c r="M22" s="40">
        <f t="shared" si="5"/>
        <v>127200</v>
      </c>
    </row>
    <row r="23" spans="4:13" ht="25.5">
      <c r="D23" s="25">
        <v>4.1</v>
      </c>
      <c r="E23" s="26" t="s">
        <v>144</v>
      </c>
      <c r="G23" s="40">
        <v>0</v>
      </c>
      <c r="H23" s="40">
        <f>40000-10000</f>
        <v>30000</v>
      </c>
      <c r="I23" s="40">
        <f>150000-60000</f>
        <v>90000</v>
      </c>
      <c r="J23" s="40">
        <v>0</v>
      </c>
      <c r="K23" s="40">
        <v>0</v>
      </c>
      <c r="L23" s="40">
        <f>SUM(G23:K23)*0.06</f>
        <v>7200</v>
      </c>
      <c r="M23" s="40">
        <f t="shared" si="5"/>
        <v>127200</v>
      </c>
    </row>
    <row r="24" spans="2:13" ht="14.25">
      <c r="B24" s="25">
        <v>5</v>
      </c>
      <c r="C24" s="25" t="s">
        <v>145</v>
      </c>
      <c r="F24" s="30" t="s">
        <v>146</v>
      </c>
      <c r="G24" s="40">
        <f aca="true" t="shared" si="8" ref="G24:L24">+G25</f>
        <v>0</v>
      </c>
      <c r="H24" s="40">
        <f t="shared" si="8"/>
        <v>0</v>
      </c>
      <c r="I24" s="40">
        <f t="shared" si="8"/>
        <v>0</v>
      </c>
      <c r="J24" s="40">
        <f t="shared" si="8"/>
        <v>0</v>
      </c>
      <c r="K24" s="40">
        <f t="shared" si="8"/>
        <v>20000</v>
      </c>
      <c r="L24" s="40">
        <f t="shared" si="8"/>
        <v>1200</v>
      </c>
      <c r="M24" s="40">
        <f t="shared" si="5"/>
        <v>21200</v>
      </c>
    </row>
    <row r="25" spans="4:13" ht="25.5">
      <c r="D25" s="25">
        <v>5.1</v>
      </c>
      <c r="E25" s="26" t="s">
        <v>147</v>
      </c>
      <c r="G25" s="40">
        <v>0</v>
      </c>
      <c r="H25" s="40">
        <v>0</v>
      </c>
      <c r="I25" s="40">
        <v>0</v>
      </c>
      <c r="J25" s="40">
        <v>0</v>
      </c>
      <c r="K25" s="40">
        <v>20000</v>
      </c>
      <c r="L25" s="40">
        <f>SUM(G25:K25)*0.06</f>
        <v>1200</v>
      </c>
      <c r="M25" s="40">
        <f t="shared" si="5"/>
        <v>21200</v>
      </c>
    </row>
    <row r="26" spans="2:13" ht="25.5">
      <c r="B26" s="25">
        <v>6</v>
      </c>
      <c r="C26" s="26" t="s">
        <v>148</v>
      </c>
      <c r="D26" s="26"/>
      <c r="F26" s="30" t="s">
        <v>129</v>
      </c>
      <c r="G26" s="40">
        <f aca="true" t="shared" si="9" ref="G26:L26">+G27+G28</f>
        <v>0</v>
      </c>
      <c r="H26" s="40">
        <f t="shared" si="9"/>
        <v>0</v>
      </c>
      <c r="I26" s="40">
        <f t="shared" si="9"/>
        <v>15000</v>
      </c>
      <c r="J26" s="40">
        <f t="shared" si="9"/>
        <v>0</v>
      </c>
      <c r="K26" s="40">
        <f t="shared" si="9"/>
        <v>0</v>
      </c>
      <c r="L26" s="40">
        <f t="shared" si="9"/>
        <v>900</v>
      </c>
      <c r="M26" s="40">
        <f t="shared" si="5"/>
        <v>15900</v>
      </c>
    </row>
    <row r="27" spans="4:13" ht="14.25">
      <c r="D27" s="25">
        <v>6.1</v>
      </c>
      <c r="E27" s="26" t="s">
        <v>149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f>SUM(G27:K27)*0.06</f>
        <v>0</v>
      </c>
      <c r="M27" s="40">
        <f t="shared" si="5"/>
        <v>0</v>
      </c>
    </row>
    <row r="28" spans="5:13" ht="14.25">
      <c r="E28" s="26" t="s">
        <v>150</v>
      </c>
      <c r="G28" s="40">
        <v>0</v>
      </c>
      <c r="H28" s="40">
        <v>0</v>
      </c>
      <c r="I28" s="40">
        <f>30000-15000</f>
        <v>15000</v>
      </c>
      <c r="J28" s="40">
        <v>0</v>
      </c>
      <c r="K28" s="40">
        <v>0</v>
      </c>
      <c r="L28" s="40">
        <f>SUM(G28:K28)*0.06</f>
        <v>900</v>
      </c>
      <c r="M28" s="40">
        <f t="shared" si="5"/>
        <v>15900</v>
      </c>
    </row>
    <row r="29" spans="2:13" ht="14.25">
      <c r="B29" s="25">
        <v>7</v>
      </c>
      <c r="C29" s="26" t="s">
        <v>151</v>
      </c>
      <c r="F29" s="30" t="s">
        <v>129</v>
      </c>
      <c r="G29" s="40">
        <f aca="true" t="shared" si="10" ref="G29:L29">+G30</f>
        <v>0</v>
      </c>
      <c r="H29" s="40">
        <f t="shared" si="10"/>
        <v>0</v>
      </c>
      <c r="I29" s="40">
        <f t="shared" si="10"/>
        <v>150000</v>
      </c>
      <c r="J29" s="40">
        <f t="shared" si="10"/>
        <v>0</v>
      </c>
      <c r="K29" s="40">
        <f t="shared" si="10"/>
        <v>0</v>
      </c>
      <c r="L29" s="40">
        <f t="shared" si="10"/>
        <v>9000</v>
      </c>
      <c r="M29" s="40">
        <f t="shared" si="5"/>
        <v>159000</v>
      </c>
    </row>
    <row r="30" spans="4:13" ht="38.25">
      <c r="D30" s="25">
        <v>7.1</v>
      </c>
      <c r="E30" s="26" t="s">
        <v>152</v>
      </c>
      <c r="G30" s="40">
        <v>0</v>
      </c>
      <c r="H30" s="40">
        <v>0</v>
      </c>
      <c r="I30" s="40">
        <f>220000-70000</f>
        <v>150000</v>
      </c>
      <c r="J30" s="40">
        <v>0</v>
      </c>
      <c r="K30" s="40">
        <v>0</v>
      </c>
      <c r="L30" s="40">
        <f>SUM(G30:K30)*0.06</f>
        <v>9000</v>
      </c>
      <c r="M30" s="40">
        <f t="shared" si="5"/>
        <v>159000</v>
      </c>
    </row>
    <row r="31" spans="2:13" ht="14.25">
      <c r="B31" s="25">
        <v>8</v>
      </c>
      <c r="C31" s="26" t="s">
        <v>153</v>
      </c>
      <c r="F31" s="30" t="s">
        <v>129</v>
      </c>
      <c r="G31" s="40">
        <f aca="true" t="shared" si="11" ref="G31:L31">+G32</f>
        <v>0</v>
      </c>
      <c r="H31" s="40">
        <f t="shared" si="11"/>
        <v>0</v>
      </c>
      <c r="I31" s="40">
        <f t="shared" si="11"/>
        <v>0</v>
      </c>
      <c r="J31" s="40">
        <f t="shared" si="11"/>
        <v>0</v>
      </c>
      <c r="K31" s="40">
        <f t="shared" si="11"/>
        <v>70000</v>
      </c>
      <c r="L31" s="40">
        <f t="shared" si="11"/>
        <v>4200</v>
      </c>
      <c r="M31" s="40">
        <f t="shared" si="5"/>
        <v>74200</v>
      </c>
    </row>
    <row r="32" spans="4:13" ht="14.25">
      <c r="D32" s="25">
        <v>8.1</v>
      </c>
      <c r="E32" s="26" t="s">
        <v>154</v>
      </c>
      <c r="G32" s="40">
        <v>0</v>
      </c>
      <c r="H32" s="40">
        <v>0</v>
      </c>
      <c r="I32" s="40">
        <v>0</v>
      </c>
      <c r="J32" s="40">
        <v>0</v>
      </c>
      <c r="K32" s="40">
        <f>100000-30000</f>
        <v>70000</v>
      </c>
      <c r="L32" s="40">
        <f>SUM(G32:K32)*0.06</f>
        <v>4200</v>
      </c>
      <c r="M32" s="40">
        <f t="shared" si="5"/>
        <v>74200</v>
      </c>
    </row>
    <row r="33" spans="2:13" ht="14.25">
      <c r="B33" s="25">
        <v>9</v>
      </c>
      <c r="C33" s="26" t="s">
        <v>155</v>
      </c>
      <c r="F33" s="30" t="s">
        <v>129</v>
      </c>
      <c r="G33" s="40">
        <f aca="true" t="shared" si="12" ref="G33:L33">+G34</f>
        <v>0</v>
      </c>
      <c r="H33" s="40">
        <f t="shared" si="12"/>
        <v>0</v>
      </c>
      <c r="I33" s="40">
        <f t="shared" si="12"/>
        <v>110000</v>
      </c>
      <c r="J33" s="40">
        <f t="shared" si="12"/>
        <v>0</v>
      </c>
      <c r="K33" s="40">
        <f t="shared" si="12"/>
        <v>0</v>
      </c>
      <c r="L33" s="40">
        <f t="shared" si="12"/>
        <v>6600</v>
      </c>
      <c r="M33" s="40">
        <f t="shared" si="5"/>
        <v>116600</v>
      </c>
    </row>
    <row r="34" spans="4:13" ht="25.5">
      <c r="D34" s="25">
        <v>9.1</v>
      </c>
      <c r="E34" s="26" t="s">
        <v>156</v>
      </c>
      <c r="G34" s="40">
        <v>0</v>
      </c>
      <c r="H34" s="40">
        <v>0</v>
      </c>
      <c r="I34" s="40">
        <f>150000-40000</f>
        <v>110000</v>
      </c>
      <c r="J34" s="40">
        <v>0</v>
      </c>
      <c r="K34" s="40">
        <v>0</v>
      </c>
      <c r="L34" s="40">
        <f>SUM(G34:K34)*0.06</f>
        <v>6600</v>
      </c>
      <c r="M34" s="40">
        <f t="shared" si="5"/>
        <v>116600</v>
      </c>
    </row>
    <row r="35" spans="2:13" ht="51">
      <c r="B35" s="25">
        <v>10</v>
      </c>
      <c r="C35" s="26" t="s">
        <v>157</v>
      </c>
      <c r="D35" s="26"/>
      <c r="F35" s="30" t="s">
        <v>129</v>
      </c>
      <c r="G35" s="40">
        <f aca="true" t="shared" si="13" ref="G35:L35">+G36+G37</f>
        <v>0</v>
      </c>
      <c r="H35" s="40">
        <f t="shared" si="13"/>
        <v>10000</v>
      </c>
      <c r="I35" s="40">
        <f t="shared" si="13"/>
        <v>0</v>
      </c>
      <c r="J35" s="40">
        <f t="shared" si="13"/>
        <v>140000</v>
      </c>
      <c r="K35" s="40">
        <f t="shared" si="13"/>
        <v>0</v>
      </c>
      <c r="L35" s="40">
        <f t="shared" si="13"/>
        <v>9000</v>
      </c>
      <c r="M35" s="40">
        <f t="shared" si="5"/>
        <v>159000</v>
      </c>
    </row>
    <row r="36" spans="4:13" ht="25.5">
      <c r="D36" s="25">
        <v>10.1</v>
      </c>
      <c r="E36" s="26" t="s">
        <v>158</v>
      </c>
      <c r="G36" s="40">
        <v>0</v>
      </c>
      <c r="H36" s="40">
        <v>10000</v>
      </c>
      <c r="I36" s="40">
        <v>0</v>
      </c>
      <c r="J36" s="40">
        <f>200000-60000</f>
        <v>140000</v>
      </c>
      <c r="K36" s="40">
        <v>0</v>
      </c>
      <c r="L36" s="40">
        <f>SUM(G36:K36)*0.06</f>
        <v>9000</v>
      </c>
      <c r="M36" s="40">
        <f t="shared" si="5"/>
        <v>159000</v>
      </c>
    </row>
    <row r="37" spans="4:13" ht="38.25">
      <c r="D37" s="25">
        <v>10.2</v>
      </c>
      <c r="E37" s="26" t="s">
        <v>159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f>SUM(G37:K37)*0.06</f>
        <v>0</v>
      </c>
      <c r="M37" s="40">
        <f t="shared" si="5"/>
        <v>0</v>
      </c>
    </row>
    <row r="38" spans="2:13" ht="25.5">
      <c r="B38" s="25">
        <v>11</v>
      </c>
      <c r="C38" s="26" t="s">
        <v>160</v>
      </c>
      <c r="F38" s="30" t="s">
        <v>129</v>
      </c>
      <c r="G38" s="40">
        <f aca="true" t="shared" si="14" ref="G38:L38">+G39</f>
        <v>0</v>
      </c>
      <c r="H38" s="40">
        <f t="shared" si="14"/>
        <v>15000</v>
      </c>
      <c r="I38" s="40">
        <f t="shared" si="14"/>
        <v>0</v>
      </c>
      <c r="J38" s="40">
        <f t="shared" si="14"/>
        <v>0</v>
      </c>
      <c r="K38" s="40">
        <f t="shared" si="14"/>
        <v>0</v>
      </c>
      <c r="L38" s="40">
        <f t="shared" si="14"/>
        <v>900</v>
      </c>
      <c r="M38" s="40">
        <f t="shared" si="5"/>
        <v>15900</v>
      </c>
    </row>
    <row r="39" spans="4:13" ht="25.5">
      <c r="D39" s="25">
        <v>11.1</v>
      </c>
      <c r="E39" s="26" t="s">
        <v>161</v>
      </c>
      <c r="G39" s="40">
        <v>0</v>
      </c>
      <c r="H39" s="40">
        <v>15000</v>
      </c>
      <c r="I39" s="40">
        <v>0</v>
      </c>
      <c r="J39" s="40">
        <v>0</v>
      </c>
      <c r="K39" s="40">
        <v>0</v>
      </c>
      <c r="L39" s="40">
        <f>SUM(G39:K39)*0.06</f>
        <v>900</v>
      </c>
      <c r="M39" s="40">
        <f t="shared" si="5"/>
        <v>15900</v>
      </c>
    </row>
    <row r="40" spans="2:13" ht="14.25">
      <c r="B40" s="25">
        <v>12</v>
      </c>
      <c r="C40" s="26" t="s">
        <v>162</v>
      </c>
      <c r="F40" s="30" t="s">
        <v>129</v>
      </c>
      <c r="G40" s="40">
        <f>G41</f>
        <v>0</v>
      </c>
      <c r="H40" s="40">
        <v>0</v>
      </c>
      <c r="I40" s="40">
        <v>0</v>
      </c>
      <c r="J40" s="40">
        <v>0</v>
      </c>
      <c r="K40" s="40">
        <v>0</v>
      </c>
      <c r="L40" s="40">
        <f>+L41</f>
        <v>0</v>
      </c>
      <c r="M40" s="40">
        <f t="shared" si="5"/>
        <v>0</v>
      </c>
    </row>
    <row r="41" spans="4:13" ht="38.25">
      <c r="D41" s="25">
        <v>12.1</v>
      </c>
      <c r="E41" s="26" t="s">
        <v>163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f>SUM(G41:K41)*0.06</f>
        <v>0</v>
      </c>
      <c r="M41" s="40">
        <f t="shared" si="5"/>
        <v>0</v>
      </c>
    </row>
    <row r="42" spans="2:13" ht="14.25">
      <c r="B42" s="25">
        <v>13</v>
      </c>
      <c r="C42" s="26" t="s">
        <v>164</v>
      </c>
      <c r="F42" s="30" t="s">
        <v>129</v>
      </c>
      <c r="G42" s="40">
        <f aca="true" t="shared" si="15" ref="G42:L42">+G43+G44+G45</f>
        <v>910000</v>
      </c>
      <c r="H42" s="40">
        <f t="shared" si="15"/>
        <v>0</v>
      </c>
      <c r="I42" s="40">
        <f t="shared" si="15"/>
        <v>0</v>
      </c>
      <c r="J42" s="40">
        <f t="shared" si="15"/>
        <v>0</v>
      </c>
      <c r="K42" s="40">
        <f t="shared" si="15"/>
        <v>0</v>
      </c>
      <c r="L42" s="40">
        <f t="shared" si="15"/>
        <v>54600</v>
      </c>
      <c r="M42" s="40">
        <f t="shared" si="5"/>
        <v>964600</v>
      </c>
    </row>
    <row r="43" spans="4:13" ht="14.25">
      <c r="D43" s="25">
        <v>13.1</v>
      </c>
      <c r="E43" s="26" t="s">
        <v>165</v>
      </c>
      <c r="G43" s="40">
        <v>421000</v>
      </c>
      <c r="H43" s="40">
        <v>0</v>
      </c>
      <c r="I43" s="40">
        <v>0</v>
      </c>
      <c r="J43" s="40">
        <v>0</v>
      </c>
      <c r="K43" s="40">
        <v>0</v>
      </c>
      <c r="L43" s="40">
        <f>SUM(G43:K43)*0.06</f>
        <v>25260</v>
      </c>
      <c r="M43" s="40">
        <f t="shared" si="5"/>
        <v>446260</v>
      </c>
    </row>
    <row r="44" spans="4:13" ht="14.25">
      <c r="D44" s="25">
        <v>13.2</v>
      </c>
      <c r="E44" s="26" t="s">
        <v>166</v>
      </c>
      <c r="G44" s="40">
        <v>267000</v>
      </c>
      <c r="H44" s="40">
        <v>0</v>
      </c>
      <c r="I44" s="40">
        <v>0</v>
      </c>
      <c r="J44" s="40">
        <v>0</v>
      </c>
      <c r="K44" s="40">
        <v>0</v>
      </c>
      <c r="L44" s="40">
        <f>SUM(G44:K44)*0.06</f>
        <v>16020</v>
      </c>
      <c r="M44" s="40">
        <f t="shared" si="5"/>
        <v>283020</v>
      </c>
    </row>
    <row r="45" spans="4:13" ht="14.25">
      <c r="D45" s="25">
        <v>13.3</v>
      </c>
      <c r="E45" s="26" t="s">
        <v>167</v>
      </c>
      <c r="G45" s="40">
        <v>222000</v>
      </c>
      <c r="H45" s="40">
        <v>0</v>
      </c>
      <c r="I45" s="40">
        <v>0</v>
      </c>
      <c r="J45" s="40">
        <v>0</v>
      </c>
      <c r="K45" s="40">
        <v>0</v>
      </c>
      <c r="L45" s="40">
        <f>SUM(G45:K45)*0.06</f>
        <v>13320</v>
      </c>
      <c r="M45" s="40">
        <f t="shared" si="5"/>
        <v>235320</v>
      </c>
    </row>
  </sheetData>
  <printOptions gridLines="1"/>
  <pageMargins left="0.15748031496062992" right="0.15748031496062992" top="0.3937007874015748" bottom="0.3937007874015748" header="0.3937007874015748" footer="0.5118110236220472"/>
  <pageSetup horizontalDpi="600" verticalDpi="600" orientation="landscape" paperSize="9" scale="58" r:id="rId1"/>
  <headerFooter alignWithMargins="0">
    <oddFooter>&amp;R&amp;8Page 1
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O35"/>
  <sheetViews>
    <sheetView zoomScale="65" zoomScaleNormal="65" workbookViewId="0" topLeftCell="A1">
      <selection activeCell="O1" sqref="O1:O16384"/>
    </sheetView>
  </sheetViews>
  <sheetFormatPr defaultColWidth="9.140625" defaultRowHeight="12.75"/>
  <cols>
    <col min="1" max="1" width="12.00390625" style="30" customWidth="1"/>
    <col min="2" max="2" width="3.28125" style="25" customWidth="1"/>
    <col min="3" max="3" width="23.8515625" style="25" customWidth="1"/>
    <col min="4" max="4" width="4.8515625" style="25" customWidth="1"/>
    <col min="5" max="5" width="27.7109375" style="26" customWidth="1"/>
    <col min="6" max="6" width="9.140625" style="30" customWidth="1"/>
    <col min="7" max="7" width="10.8515625" style="30" bestFit="1" customWidth="1"/>
    <col min="8" max="8" width="10.421875" style="30" bestFit="1" customWidth="1"/>
    <col min="9" max="9" width="11.140625" style="30" customWidth="1"/>
    <col min="10" max="10" width="10.8515625" style="30" bestFit="1" customWidth="1"/>
    <col min="11" max="11" width="11.00390625" style="30" customWidth="1"/>
    <col min="12" max="12" width="10.00390625" style="30" customWidth="1"/>
    <col min="13" max="13" width="9.8515625" style="30" bestFit="1" customWidth="1"/>
    <col min="14" max="14" width="12.57421875" style="30" bestFit="1" customWidth="1"/>
    <col min="15" max="15" width="12.57421875" style="0" bestFit="1" customWidth="1"/>
  </cols>
  <sheetData>
    <row r="1" spans="1:4" ht="15.75">
      <c r="A1" s="14" t="s">
        <v>685</v>
      </c>
      <c r="C1" s="9"/>
      <c r="D1" s="9"/>
    </row>
    <row r="2" spans="1:14" s="19" customFormat="1" ht="33.75">
      <c r="A2" s="18" t="s">
        <v>66</v>
      </c>
      <c r="B2" s="20"/>
      <c r="C2" s="18" t="s">
        <v>172</v>
      </c>
      <c r="D2" s="20"/>
      <c r="E2" s="18" t="s">
        <v>67</v>
      </c>
      <c r="F2" s="18" t="s">
        <v>325</v>
      </c>
      <c r="G2" s="18" t="s">
        <v>61</v>
      </c>
      <c r="H2" s="18" t="s">
        <v>62</v>
      </c>
      <c r="I2" s="18" t="s">
        <v>323</v>
      </c>
      <c r="J2" s="18" t="s">
        <v>63</v>
      </c>
      <c r="K2" s="18" t="s">
        <v>324</v>
      </c>
      <c r="L2" s="18" t="s">
        <v>327</v>
      </c>
      <c r="M2" s="18" t="s">
        <v>64</v>
      </c>
      <c r="N2" s="18" t="s">
        <v>65</v>
      </c>
    </row>
    <row r="3" spans="5:14" ht="12.75">
      <c r="E3" s="23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3" t="s">
        <v>667</v>
      </c>
      <c r="D4" s="9"/>
      <c r="E4" s="2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3"/>
      <c r="D5" s="9"/>
      <c r="E5" s="2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 t="s">
        <v>329</v>
      </c>
      <c r="C6" s="9"/>
      <c r="D6" s="9"/>
      <c r="E6" s="23"/>
      <c r="G6" s="3"/>
      <c r="H6" s="3"/>
      <c r="I6" s="3"/>
      <c r="J6" s="3"/>
      <c r="K6" s="3"/>
      <c r="L6" s="3"/>
      <c r="M6" s="3"/>
      <c r="N6" s="3"/>
    </row>
    <row r="7" spans="1:15" s="2" customFormat="1" ht="12.75">
      <c r="A7" s="3"/>
      <c r="B7" s="9"/>
      <c r="C7" s="9"/>
      <c r="D7" s="9"/>
      <c r="E7" s="12" t="s">
        <v>343</v>
      </c>
      <c r="F7" s="3"/>
      <c r="G7" s="33">
        <f aca="true" t="shared" si="0" ref="G7:M7">+G8+G20+G28+G30+G33</f>
        <v>559000</v>
      </c>
      <c r="H7" s="33">
        <f t="shared" si="0"/>
        <v>175000</v>
      </c>
      <c r="I7" s="33">
        <f t="shared" si="0"/>
        <v>635000</v>
      </c>
      <c r="J7" s="33">
        <f t="shared" si="0"/>
        <v>277000</v>
      </c>
      <c r="K7" s="33">
        <f t="shared" si="0"/>
        <v>20000</v>
      </c>
      <c r="L7" s="33">
        <f t="shared" si="0"/>
        <v>0</v>
      </c>
      <c r="M7" s="33">
        <f t="shared" si="0"/>
        <v>99960</v>
      </c>
      <c r="N7" s="33">
        <f>SUM(G7:M7)</f>
        <v>1765960</v>
      </c>
      <c r="O7" s="32"/>
    </row>
    <row r="8" spans="2:15" ht="42" customHeight="1">
      <c r="B8" s="25">
        <v>1</v>
      </c>
      <c r="C8" s="26" t="s">
        <v>68</v>
      </c>
      <c r="D8" s="26"/>
      <c r="F8" s="30" t="s">
        <v>69</v>
      </c>
      <c r="G8" s="40">
        <f aca="true" t="shared" si="1" ref="G8:N8">+G9+G10+G11+G12+G13+G14+G15+G16+G17+G18+G19</f>
        <v>0</v>
      </c>
      <c r="H8" s="40">
        <f t="shared" si="1"/>
        <v>95000</v>
      </c>
      <c r="I8" s="40">
        <f t="shared" si="1"/>
        <v>535000</v>
      </c>
      <c r="J8" s="40">
        <f t="shared" si="1"/>
        <v>240000</v>
      </c>
      <c r="K8" s="40">
        <f t="shared" si="1"/>
        <v>0</v>
      </c>
      <c r="L8" s="40">
        <f t="shared" si="1"/>
        <v>0</v>
      </c>
      <c r="M8" s="40">
        <f t="shared" si="1"/>
        <v>52200</v>
      </c>
      <c r="N8" s="40">
        <f t="shared" si="1"/>
        <v>922200</v>
      </c>
      <c r="O8" s="31"/>
    </row>
    <row r="9" spans="4:14" ht="15" customHeight="1">
      <c r="D9" s="25">
        <v>1.1</v>
      </c>
      <c r="E9" s="26" t="s">
        <v>70</v>
      </c>
      <c r="G9" s="40">
        <v>0</v>
      </c>
      <c r="H9" s="40">
        <v>40000</v>
      </c>
      <c r="I9" s="40">
        <v>90000</v>
      </c>
      <c r="J9" s="40">
        <v>0</v>
      </c>
      <c r="K9" s="40">
        <v>0</v>
      </c>
      <c r="L9" s="40">
        <v>0</v>
      </c>
      <c r="M9" s="40">
        <f aca="true" t="shared" si="2" ref="M9:M19">SUM(G9:L9)*0.06</f>
        <v>7800</v>
      </c>
      <c r="N9" s="40">
        <f>SUM(G9:M9)</f>
        <v>137800</v>
      </c>
    </row>
    <row r="10" spans="5:14" ht="15" customHeight="1">
      <c r="E10" s="26" t="s">
        <v>71</v>
      </c>
      <c r="G10" s="40">
        <v>0</v>
      </c>
      <c r="H10" s="40">
        <v>40000</v>
      </c>
      <c r="I10" s="40">
        <v>260000</v>
      </c>
      <c r="J10" s="40">
        <v>0</v>
      </c>
      <c r="K10" s="40">
        <v>0</v>
      </c>
      <c r="L10" s="40">
        <v>0</v>
      </c>
      <c r="M10" s="40">
        <f t="shared" si="2"/>
        <v>18000</v>
      </c>
      <c r="N10" s="40">
        <f aca="true" t="shared" si="3" ref="N10:N19">SUM(G10:M10)</f>
        <v>318000</v>
      </c>
    </row>
    <row r="11" spans="4:14" ht="15" customHeight="1">
      <c r="D11" s="25">
        <v>1.2</v>
      </c>
      <c r="E11" s="26" t="s">
        <v>72</v>
      </c>
      <c r="G11" s="40">
        <v>0</v>
      </c>
      <c r="H11" s="40">
        <v>0</v>
      </c>
      <c r="I11" s="40">
        <v>150000</v>
      </c>
      <c r="J11" s="40">
        <v>0</v>
      </c>
      <c r="K11" s="40">
        <v>0</v>
      </c>
      <c r="L11" s="40">
        <v>0</v>
      </c>
      <c r="M11" s="40">
        <f t="shared" si="2"/>
        <v>9000</v>
      </c>
      <c r="N11" s="40">
        <f t="shared" si="3"/>
        <v>159000</v>
      </c>
    </row>
    <row r="12" spans="4:14" ht="28.5" customHeight="1">
      <c r="D12" s="25">
        <v>1.3</v>
      </c>
      <c r="E12" s="26" t="s">
        <v>334</v>
      </c>
      <c r="G12" s="40">
        <v>0</v>
      </c>
      <c r="H12" s="40">
        <v>0</v>
      </c>
      <c r="I12" s="40">
        <v>30000</v>
      </c>
      <c r="J12" s="40">
        <v>0</v>
      </c>
      <c r="K12" s="40">
        <v>0</v>
      </c>
      <c r="L12" s="40">
        <v>0</v>
      </c>
      <c r="M12" s="40">
        <f t="shared" si="2"/>
        <v>1800</v>
      </c>
      <c r="N12" s="40">
        <f t="shared" si="3"/>
        <v>31800</v>
      </c>
    </row>
    <row r="13" spans="4:14" ht="26.25" customHeight="1">
      <c r="D13" s="25">
        <v>1.4</v>
      </c>
      <c r="E13" s="26" t="s">
        <v>73</v>
      </c>
      <c r="G13" s="40">
        <v>0</v>
      </c>
      <c r="H13" s="40">
        <v>15000</v>
      </c>
      <c r="I13" s="40">
        <v>0</v>
      </c>
      <c r="J13" s="40">
        <v>240000</v>
      </c>
      <c r="K13" s="40">
        <v>0</v>
      </c>
      <c r="L13" s="40">
        <v>0</v>
      </c>
      <c r="M13" s="40">
        <f t="shared" si="2"/>
        <v>15300</v>
      </c>
      <c r="N13" s="40">
        <f t="shared" si="3"/>
        <v>270300</v>
      </c>
    </row>
    <row r="14" spans="4:14" ht="26.25" customHeight="1">
      <c r="D14" s="25">
        <v>1.5</v>
      </c>
      <c r="E14" s="26" t="s">
        <v>74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f t="shared" si="2"/>
        <v>0</v>
      </c>
      <c r="N14" s="40">
        <f t="shared" si="3"/>
        <v>0</v>
      </c>
    </row>
    <row r="15" spans="4:14" ht="26.25" customHeight="1">
      <c r="D15" s="25">
        <v>1.6</v>
      </c>
      <c r="E15" s="26" t="s">
        <v>75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f t="shared" si="2"/>
        <v>0</v>
      </c>
      <c r="N15" s="40">
        <f t="shared" si="3"/>
        <v>0</v>
      </c>
    </row>
    <row r="16" spans="4:14" ht="28.5" customHeight="1">
      <c r="D16" s="25">
        <v>1.7</v>
      </c>
      <c r="E16" s="26" t="s">
        <v>76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f t="shared" si="2"/>
        <v>0</v>
      </c>
      <c r="N16" s="40">
        <f t="shared" si="3"/>
        <v>0</v>
      </c>
    </row>
    <row r="17" spans="4:14" ht="29.25" customHeight="1">
      <c r="D17" s="25">
        <v>1.8</v>
      </c>
      <c r="E17" s="26" t="s">
        <v>77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f t="shared" si="2"/>
        <v>0</v>
      </c>
      <c r="N17" s="40">
        <f t="shared" si="3"/>
        <v>0</v>
      </c>
    </row>
    <row r="18" spans="4:14" ht="39" customHeight="1">
      <c r="D18" s="25">
        <v>1.9</v>
      </c>
      <c r="E18" s="26" t="s">
        <v>78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f t="shared" si="2"/>
        <v>0</v>
      </c>
      <c r="N18" s="40">
        <f t="shared" si="3"/>
        <v>0</v>
      </c>
    </row>
    <row r="19" spans="4:14" ht="54" customHeight="1">
      <c r="D19" s="46">
        <v>1.1</v>
      </c>
      <c r="E19" s="26" t="s">
        <v>79</v>
      </c>
      <c r="G19" s="40">
        <v>0</v>
      </c>
      <c r="H19" s="40">
        <v>0</v>
      </c>
      <c r="I19" s="40">
        <v>5000</v>
      </c>
      <c r="J19" s="40">
        <v>0</v>
      </c>
      <c r="K19" s="40">
        <v>0</v>
      </c>
      <c r="L19" s="40">
        <v>0</v>
      </c>
      <c r="M19" s="40">
        <f t="shared" si="2"/>
        <v>300</v>
      </c>
      <c r="N19" s="40">
        <f t="shared" si="3"/>
        <v>5300</v>
      </c>
    </row>
    <row r="20" spans="2:15" ht="27.75" customHeight="1">
      <c r="B20" s="25">
        <v>2</v>
      </c>
      <c r="C20" s="26" t="s">
        <v>80</v>
      </c>
      <c r="D20" s="26"/>
      <c r="F20" s="30" t="s">
        <v>69</v>
      </c>
      <c r="G20" s="40">
        <f>SUM(G21:G27)</f>
        <v>0</v>
      </c>
      <c r="H20" s="40">
        <f aca="true" t="shared" si="4" ref="H20:M20">SUM(H21:H27)</f>
        <v>80000</v>
      </c>
      <c r="I20" s="40">
        <f t="shared" si="4"/>
        <v>100000</v>
      </c>
      <c r="J20" s="40">
        <f t="shared" si="4"/>
        <v>27000</v>
      </c>
      <c r="K20" s="40">
        <f t="shared" si="4"/>
        <v>20000</v>
      </c>
      <c r="L20" s="40">
        <f t="shared" si="4"/>
        <v>0</v>
      </c>
      <c r="M20" s="40">
        <f t="shared" si="4"/>
        <v>13620</v>
      </c>
      <c r="N20" s="40">
        <f>SUM(G20:M20)</f>
        <v>240620</v>
      </c>
      <c r="O20" s="31"/>
    </row>
    <row r="21" spans="4:14" ht="55.5" customHeight="1">
      <c r="D21" s="25">
        <v>2.1</v>
      </c>
      <c r="E21" s="26" t="s">
        <v>81</v>
      </c>
      <c r="G21" s="40">
        <v>0</v>
      </c>
      <c r="H21" s="40">
        <v>30000</v>
      </c>
      <c r="I21" s="40">
        <v>0</v>
      </c>
      <c r="J21" s="40">
        <v>27000</v>
      </c>
      <c r="K21" s="40">
        <v>0</v>
      </c>
      <c r="L21" s="40">
        <v>0</v>
      </c>
      <c r="M21" s="40">
        <f aca="true" t="shared" si="5" ref="M21:M27">SUM(G21:L21)*0.06</f>
        <v>3420</v>
      </c>
      <c r="N21" s="40">
        <f>SUM(G21:M21)</f>
        <v>60420</v>
      </c>
    </row>
    <row r="22" spans="4:14" ht="15" customHeight="1">
      <c r="D22" s="25">
        <v>2.2</v>
      </c>
      <c r="E22" s="26" t="s">
        <v>82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f t="shared" si="5"/>
        <v>0</v>
      </c>
      <c r="N22" s="40">
        <f aca="true" t="shared" si="6" ref="N22:N27">SUM(G22:M22)</f>
        <v>0</v>
      </c>
    </row>
    <row r="23" spans="4:14" ht="25.5" customHeight="1">
      <c r="D23" s="25">
        <v>2.3</v>
      </c>
      <c r="E23" s="26" t="s">
        <v>83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f t="shared" si="5"/>
        <v>0</v>
      </c>
      <c r="N23" s="40">
        <f t="shared" si="6"/>
        <v>0</v>
      </c>
    </row>
    <row r="24" spans="4:14" ht="27.75" customHeight="1">
      <c r="D24" s="25">
        <v>2.4</v>
      </c>
      <c r="E24" s="26" t="s">
        <v>84</v>
      </c>
      <c r="G24" s="40">
        <v>0</v>
      </c>
      <c r="H24" s="40">
        <v>0</v>
      </c>
      <c r="I24" s="40">
        <v>0</v>
      </c>
      <c r="J24" s="40">
        <v>0</v>
      </c>
      <c r="K24" s="40">
        <v>20000</v>
      </c>
      <c r="L24" s="40">
        <v>0</v>
      </c>
      <c r="M24" s="40">
        <f t="shared" si="5"/>
        <v>1200</v>
      </c>
      <c r="N24" s="40">
        <f t="shared" si="6"/>
        <v>21200</v>
      </c>
    </row>
    <row r="25" spans="4:14" ht="39" customHeight="1">
      <c r="D25" s="25">
        <v>2.5</v>
      </c>
      <c r="E25" s="26" t="s">
        <v>85</v>
      </c>
      <c r="G25" s="40">
        <v>0</v>
      </c>
      <c r="H25" s="40">
        <v>50000</v>
      </c>
      <c r="I25" s="40">
        <v>100000</v>
      </c>
      <c r="J25" s="40">
        <v>0</v>
      </c>
      <c r="K25" s="40">
        <v>0</v>
      </c>
      <c r="L25" s="40">
        <v>0</v>
      </c>
      <c r="M25" s="40">
        <f t="shared" si="5"/>
        <v>9000</v>
      </c>
      <c r="N25" s="40">
        <f t="shared" si="6"/>
        <v>159000</v>
      </c>
    </row>
    <row r="26" spans="4:14" ht="15" customHeight="1">
      <c r="D26" s="25">
        <v>2.6</v>
      </c>
      <c r="E26" s="26" t="s">
        <v>86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f t="shared" si="5"/>
        <v>0</v>
      </c>
      <c r="N26" s="40">
        <f t="shared" si="6"/>
        <v>0</v>
      </c>
    </row>
    <row r="27" spans="4:14" ht="27" customHeight="1">
      <c r="D27" s="25">
        <v>2.7</v>
      </c>
      <c r="E27" s="26" t="s">
        <v>87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f t="shared" si="5"/>
        <v>0</v>
      </c>
      <c r="N27" s="40">
        <f t="shared" si="6"/>
        <v>0</v>
      </c>
    </row>
    <row r="28" spans="2:14" ht="15" customHeight="1">
      <c r="B28" s="25">
        <v>3</v>
      </c>
      <c r="C28" s="25" t="s">
        <v>88</v>
      </c>
      <c r="F28" s="30" t="s">
        <v>69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f>+M29</f>
        <v>0</v>
      </c>
      <c r="N28" s="40">
        <f aca="true" t="shared" si="7" ref="N28:N35">SUM(G28:M28)</f>
        <v>0</v>
      </c>
    </row>
    <row r="29" spans="4:14" ht="52.5" customHeight="1">
      <c r="D29" s="25">
        <v>3.1</v>
      </c>
      <c r="E29" s="26" t="s">
        <v>89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f>SUM(G29:L29)*0.06</f>
        <v>0</v>
      </c>
      <c r="N29" s="40">
        <f t="shared" si="7"/>
        <v>0</v>
      </c>
    </row>
    <row r="30" spans="2:15" ht="27.75" customHeight="1">
      <c r="B30" s="25">
        <v>4</v>
      </c>
      <c r="C30" s="26" t="s">
        <v>90</v>
      </c>
      <c r="D30" s="26"/>
      <c r="F30" s="30" t="s">
        <v>69</v>
      </c>
      <c r="G30" s="40">
        <f aca="true" t="shared" si="8" ref="G30:L30">+G31+G32</f>
        <v>0</v>
      </c>
      <c r="H30" s="40">
        <f t="shared" si="8"/>
        <v>0</v>
      </c>
      <c r="I30" s="40">
        <f t="shared" si="8"/>
        <v>0</v>
      </c>
      <c r="J30" s="40">
        <f t="shared" si="8"/>
        <v>10000</v>
      </c>
      <c r="K30" s="40">
        <f t="shared" si="8"/>
        <v>0</v>
      </c>
      <c r="L30" s="40">
        <f t="shared" si="8"/>
        <v>0</v>
      </c>
      <c r="M30" s="40">
        <f>+M31+M32</f>
        <v>600</v>
      </c>
      <c r="N30" s="40">
        <f t="shared" si="7"/>
        <v>10600</v>
      </c>
      <c r="O30" s="31"/>
    </row>
    <row r="31" spans="4:14" ht="15" customHeight="1">
      <c r="D31" s="25">
        <v>4.1</v>
      </c>
      <c r="E31" s="26" t="s">
        <v>91</v>
      </c>
      <c r="G31" s="40">
        <v>0</v>
      </c>
      <c r="H31" s="40">
        <v>0</v>
      </c>
      <c r="I31" s="40">
        <v>0</v>
      </c>
      <c r="J31" s="40">
        <v>10000</v>
      </c>
      <c r="K31" s="40">
        <v>0</v>
      </c>
      <c r="L31" s="40">
        <v>0</v>
      </c>
      <c r="M31" s="40">
        <f>SUM(G31:L31)*0.06</f>
        <v>600</v>
      </c>
      <c r="N31" s="40">
        <f t="shared" si="7"/>
        <v>10600</v>
      </c>
    </row>
    <row r="32" spans="4:14" ht="15" customHeight="1">
      <c r="D32" s="25">
        <v>4.2</v>
      </c>
      <c r="E32" s="26" t="s">
        <v>82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f>SUM(G32:L32)*0.06</f>
        <v>0</v>
      </c>
      <c r="N32" s="40">
        <f t="shared" si="7"/>
        <v>0</v>
      </c>
    </row>
    <row r="33" spans="2:15" ht="25.5" customHeight="1">
      <c r="B33" s="25">
        <v>5</v>
      </c>
      <c r="C33" s="26" t="s">
        <v>92</v>
      </c>
      <c r="D33" s="26"/>
      <c r="F33" s="30" t="s">
        <v>69</v>
      </c>
      <c r="G33" s="40">
        <f>+G34+G35</f>
        <v>559000</v>
      </c>
      <c r="H33" s="40">
        <f aca="true" t="shared" si="9" ref="H33:M33">+H34+H35</f>
        <v>0</v>
      </c>
      <c r="I33" s="40">
        <f t="shared" si="9"/>
        <v>0</v>
      </c>
      <c r="J33" s="40">
        <f t="shared" si="9"/>
        <v>0</v>
      </c>
      <c r="K33" s="40">
        <f t="shared" si="9"/>
        <v>0</v>
      </c>
      <c r="L33" s="40">
        <f t="shared" si="9"/>
        <v>0</v>
      </c>
      <c r="M33" s="40">
        <f t="shared" si="9"/>
        <v>33540</v>
      </c>
      <c r="N33" s="40">
        <f t="shared" si="7"/>
        <v>592540</v>
      </c>
      <c r="O33" s="31"/>
    </row>
    <row r="34" spans="4:14" ht="15" customHeight="1">
      <c r="D34" s="25">
        <v>5.1</v>
      </c>
      <c r="E34" s="26" t="s">
        <v>93</v>
      </c>
      <c r="G34" s="40">
        <v>366000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f>SUM(G34:L34)*0.06</f>
        <v>21960</v>
      </c>
      <c r="N34" s="40">
        <f t="shared" si="7"/>
        <v>387960</v>
      </c>
    </row>
    <row r="35" spans="4:14" ht="15" customHeight="1">
      <c r="D35" s="25">
        <v>5.2</v>
      </c>
      <c r="E35" s="26" t="s">
        <v>94</v>
      </c>
      <c r="G35" s="40">
        <v>193000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f>SUM(G35:L35)*0.06</f>
        <v>11580</v>
      </c>
      <c r="N35" s="40">
        <f t="shared" si="7"/>
        <v>204580</v>
      </c>
    </row>
  </sheetData>
  <printOptions gridLines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3" r:id="rId1"/>
  <headerFooter alignWithMargins="0">
    <oddFooter>&amp;R&amp;8Page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N34"/>
  <sheetViews>
    <sheetView zoomScaleSheetLayoutView="75" workbookViewId="0" topLeftCell="A1">
      <selection activeCell="N1" sqref="N1:N16384"/>
    </sheetView>
  </sheetViews>
  <sheetFormatPr defaultColWidth="9.140625" defaultRowHeight="12.75"/>
  <cols>
    <col min="1" max="1" width="13.00390625" style="0" customWidth="1"/>
    <col min="2" max="2" width="4.421875" style="97" customWidth="1"/>
    <col min="3" max="3" width="30.28125" style="97" customWidth="1"/>
    <col min="4" max="4" width="31.00390625" style="97" customWidth="1"/>
    <col min="5" max="5" width="10.28125" style="0" customWidth="1"/>
    <col min="6" max="6" width="11.421875" style="0" customWidth="1"/>
    <col min="8" max="8" width="13.00390625" style="0" customWidth="1"/>
    <col min="9" max="9" width="11.00390625" style="0" customWidth="1"/>
    <col min="10" max="10" width="12.140625" style="0" customWidth="1"/>
    <col min="11" max="11" width="11.421875" style="0" customWidth="1"/>
    <col min="12" max="12" width="8.8515625" style="0" customWidth="1"/>
    <col min="13" max="13" width="11.57421875" style="0" customWidth="1"/>
    <col min="14" max="14" width="12.421875" style="0" customWidth="1"/>
    <col min="15" max="15" width="13.28125" style="0" customWidth="1"/>
  </cols>
  <sheetData>
    <row r="1" spans="1:12" ht="15.75">
      <c r="A1" s="14" t="s">
        <v>685</v>
      </c>
      <c r="B1" s="9"/>
      <c r="C1" s="9"/>
      <c r="D1" s="25"/>
      <c r="E1" s="30"/>
      <c r="F1" s="30"/>
      <c r="G1" s="30"/>
      <c r="H1" s="30"/>
      <c r="I1" s="30"/>
      <c r="J1" s="30"/>
      <c r="K1" s="30"/>
      <c r="L1" s="30"/>
    </row>
    <row r="2" spans="1:12" s="92" customFormat="1" ht="22.5">
      <c r="A2" s="21" t="s">
        <v>66</v>
      </c>
      <c r="B2" s="73"/>
      <c r="C2" s="21" t="s">
        <v>172</v>
      </c>
      <c r="D2" s="21" t="s">
        <v>67</v>
      </c>
      <c r="E2" s="18" t="s">
        <v>40</v>
      </c>
      <c r="F2" s="21" t="s">
        <v>61</v>
      </c>
      <c r="G2" s="21" t="s">
        <v>62</v>
      </c>
      <c r="H2" s="21" t="s">
        <v>358</v>
      </c>
      <c r="I2" s="21" t="s">
        <v>63</v>
      </c>
      <c r="J2" s="21" t="s">
        <v>359</v>
      </c>
      <c r="K2" s="21" t="s">
        <v>64</v>
      </c>
      <c r="L2" s="21" t="s">
        <v>65</v>
      </c>
    </row>
    <row r="3" spans="1:12" ht="12.75">
      <c r="A3" s="15" t="s">
        <v>666</v>
      </c>
      <c r="B3" s="39"/>
      <c r="C3" s="39"/>
      <c r="D3" s="39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41</v>
      </c>
      <c r="B4" s="9"/>
      <c r="C4" s="9"/>
      <c r="D4" s="8"/>
      <c r="E4" s="1"/>
      <c r="F4" s="1"/>
      <c r="G4" s="1"/>
      <c r="H4" s="1"/>
      <c r="I4" s="1"/>
      <c r="J4" s="1"/>
      <c r="K4" s="1"/>
      <c r="L4" s="1"/>
    </row>
    <row r="5" spans="1:13" s="2" customFormat="1" ht="12.75">
      <c r="A5" s="3"/>
      <c r="B5" s="9"/>
      <c r="C5" s="9"/>
      <c r="D5" s="9" t="s">
        <v>343</v>
      </c>
      <c r="E5" s="3"/>
      <c r="F5" s="33">
        <f aca="true" t="shared" si="0" ref="F5:K5">+F7+F10+F17+F20+F25+F29+F33</f>
        <v>179556</v>
      </c>
      <c r="G5" s="33">
        <f t="shared" si="0"/>
        <v>50000</v>
      </c>
      <c r="H5" s="33">
        <f t="shared" si="0"/>
        <v>200000</v>
      </c>
      <c r="I5" s="33">
        <f t="shared" si="0"/>
        <v>110000</v>
      </c>
      <c r="J5" s="33">
        <f t="shared" si="0"/>
        <v>15000</v>
      </c>
      <c r="K5" s="33">
        <f t="shared" si="0"/>
        <v>33273.36</v>
      </c>
      <c r="L5" s="33">
        <f>SUM(F5:K5)</f>
        <v>587829.36</v>
      </c>
      <c r="M5" s="103"/>
    </row>
    <row r="6" spans="1:13" s="2" customFormat="1" ht="12.75">
      <c r="A6" s="3"/>
      <c r="B6" s="9"/>
      <c r="C6" s="9"/>
      <c r="D6" s="9"/>
      <c r="E6" s="3"/>
      <c r="F6" s="33"/>
      <c r="G6" s="33"/>
      <c r="H6" s="33"/>
      <c r="I6" s="33"/>
      <c r="J6" s="33"/>
      <c r="K6" s="33"/>
      <c r="L6" s="33"/>
      <c r="M6" s="103"/>
    </row>
    <row r="7" spans="1:12" ht="12.75">
      <c r="A7" s="30"/>
      <c r="B7" s="25">
        <v>1</v>
      </c>
      <c r="C7" s="26" t="s">
        <v>18</v>
      </c>
      <c r="D7" s="26"/>
      <c r="E7" s="30" t="s">
        <v>42</v>
      </c>
      <c r="F7" s="40">
        <f aca="true" t="shared" si="1" ref="F7:K7">F8</f>
        <v>0</v>
      </c>
      <c r="G7" s="40">
        <f t="shared" si="1"/>
        <v>20000</v>
      </c>
      <c r="H7" s="40">
        <f t="shared" si="1"/>
        <v>0</v>
      </c>
      <c r="I7" s="40">
        <f t="shared" si="1"/>
        <v>80000</v>
      </c>
      <c r="J7" s="40">
        <f t="shared" si="1"/>
        <v>0</v>
      </c>
      <c r="K7" s="40">
        <f t="shared" si="1"/>
        <v>6000</v>
      </c>
      <c r="L7" s="40">
        <f>SUM(F7:K7)</f>
        <v>106000</v>
      </c>
    </row>
    <row r="8" spans="1:12" ht="12.75">
      <c r="A8" s="30"/>
      <c r="B8" s="25"/>
      <c r="C8" s="25">
        <v>1.1</v>
      </c>
      <c r="D8" s="25" t="s">
        <v>19</v>
      </c>
      <c r="E8" s="30"/>
      <c r="F8" s="40">
        <v>0</v>
      </c>
      <c r="G8" s="40">
        <v>20000</v>
      </c>
      <c r="H8" s="40">
        <v>0</v>
      </c>
      <c r="I8" s="40">
        <f>160000-80000</f>
        <v>80000</v>
      </c>
      <c r="J8" s="40">
        <v>0</v>
      </c>
      <c r="K8" s="40">
        <f>SUM(F8:J8)*0.06</f>
        <v>6000</v>
      </c>
      <c r="L8" s="40">
        <f>SUM(F8:K8)</f>
        <v>106000</v>
      </c>
    </row>
    <row r="9" spans="1:12" ht="12.75">
      <c r="A9" s="30"/>
      <c r="B9" s="25"/>
      <c r="C9" s="25"/>
      <c r="D9" s="25"/>
      <c r="E9" s="30"/>
      <c r="F9" s="40"/>
      <c r="G9" s="40"/>
      <c r="H9" s="40"/>
      <c r="I9" s="40"/>
      <c r="J9" s="40"/>
      <c r="K9" s="40"/>
      <c r="L9" s="40"/>
    </row>
    <row r="10" spans="1:14" ht="38.25">
      <c r="A10" s="30"/>
      <c r="B10" s="25">
        <v>2</v>
      </c>
      <c r="C10" s="26" t="s">
        <v>20</v>
      </c>
      <c r="D10" s="25"/>
      <c r="E10" s="30" t="s">
        <v>42</v>
      </c>
      <c r="F10" s="40">
        <f aca="true" t="shared" si="2" ref="F10:K10">+F11+F12+F13+F14+F15</f>
        <v>0</v>
      </c>
      <c r="G10" s="40">
        <f t="shared" si="2"/>
        <v>20000</v>
      </c>
      <c r="H10" s="40">
        <f t="shared" si="2"/>
        <v>95000</v>
      </c>
      <c r="I10" s="40">
        <f t="shared" si="2"/>
        <v>0</v>
      </c>
      <c r="J10" s="40">
        <f t="shared" si="2"/>
        <v>0</v>
      </c>
      <c r="K10" s="40">
        <f t="shared" si="2"/>
        <v>6900</v>
      </c>
      <c r="L10" s="40">
        <f aca="true" t="shared" si="3" ref="L10:L15">SUM(F10:K10)</f>
        <v>121900</v>
      </c>
      <c r="N10" s="31"/>
    </row>
    <row r="11" spans="1:12" ht="12.75">
      <c r="A11" s="30"/>
      <c r="B11" s="25"/>
      <c r="C11" s="25">
        <v>2.1</v>
      </c>
      <c r="D11" s="25" t="s">
        <v>21</v>
      </c>
      <c r="E11" s="30"/>
      <c r="F11" s="40">
        <v>0</v>
      </c>
      <c r="G11" s="40">
        <v>10000</v>
      </c>
      <c r="H11" s="40">
        <f>40000-20000</f>
        <v>20000</v>
      </c>
      <c r="I11" s="40">
        <v>0</v>
      </c>
      <c r="J11" s="40">
        <v>0</v>
      </c>
      <c r="K11" s="40">
        <f>SUM(F11:J11)*0.06</f>
        <v>1800</v>
      </c>
      <c r="L11" s="40">
        <f t="shared" si="3"/>
        <v>31800</v>
      </c>
    </row>
    <row r="12" spans="1:12" ht="12.75">
      <c r="A12" s="30"/>
      <c r="B12" s="25"/>
      <c r="C12" s="25">
        <v>2.2</v>
      </c>
      <c r="D12" s="25" t="s">
        <v>22</v>
      </c>
      <c r="E12" s="30"/>
      <c r="F12" s="40">
        <v>0</v>
      </c>
      <c r="G12" s="40">
        <v>0</v>
      </c>
      <c r="H12" s="40">
        <v>10000</v>
      </c>
      <c r="I12" s="40">
        <v>0</v>
      </c>
      <c r="J12" s="40">
        <v>0</v>
      </c>
      <c r="K12" s="40">
        <f>SUM(F12:J12)*0.06</f>
        <v>600</v>
      </c>
      <c r="L12" s="40">
        <f t="shared" si="3"/>
        <v>10600</v>
      </c>
    </row>
    <row r="13" spans="1:12" ht="12.75">
      <c r="A13" s="30"/>
      <c r="B13" s="25"/>
      <c r="C13" s="25">
        <v>2.3</v>
      </c>
      <c r="D13" s="25" t="s">
        <v>23</v>
      </c>
      <c r="E13" s="30"/>
      <c r="F13" s="40">
        <v>0</v>
      </c>
      <c r="G13" s="40">
        <v>5000</v>
      </c>
      <c r="H13" s="40">
        <f>20000-5000</f>
        <v>15000</v>
      </c>
      <c r="I13" s="40">
        <v>0</v>
      </c>
      <c r="J13" s="40">
        <v>0</v>
      </c>
      <c r="K13" s="40">
        <f>SUM(F13:J13)*0.06</f>
        <v>1200</v>
      </c>
      <c r="L13" s="40">
        <f t="shared" si="3"/>
        <v>21200</v>
      </c>
    </row>
    <row r="14" spans="1:12" ht="12.75">
      <c r="A14" s="30"/>
      <c r="B14" s="25"/>
      <c r="C14" s="25">
        <v>2.4</v>
      </c>
      <c r="D14" s="25" t="s">
        <v>24</v>
      </c>
      <c r="E14" s="30"/>
      <c r="F14" s="40">
        <v>0</v>
      </c>
      <c r="G14" s="40">
        <v>5000</v>
      </c>
      <c r="H14" s="40">
        <v>20000</v>
      </c>
      <c r="I14" s="40">
        <v>0</v>
      </c>
      <c r="J14" s="40">
        <v>0</v>
      </c>
      <c r="K14" s="40">
        <f>SUM(F14:J14)*0.06</f>
        <v>1500</v>
      </c>
      <c r="L14" s="40">
        <f t="shared" si="3"/>
        <v>26500</v>
      </c>
    </row>
    <row r="15" spans="1:12" ht="12.75">
      <c r="A15" s="30"/>
      <c r="B15" s="25"/>
      <c r="C15" s="25">
        <v>2.5</v>
      </c>
      <c r="D15" s="25" t="s">
        <v>25</v>
      </c>
      <c r="E15" s="30"/>
      <c r="F15" s="40">
        <v>0</v>
      </c>
      <c r="G15" s="40">
        <v>0</v>
      </c>
      <c r="H15" s="40">
        <v>30000</v>
      </c>
      <c r="I15" s="40">
        <v>0</v>
      </c>
      <c r="J15" s="40">
        <v>0</v>
      </c>
      <c r="K15" s="40">
        <f>SUM(F15:J15)*0.06</f>
        <v>1800</v>
      </c>
      <c r="L15" s="40">
        <f t="shared" si="3"/>
        <v>31800</v>
      </c>
    </row>
    <row r="16" spans="1:12" ht="12.75">
      <c r="A16" s="30"/>
      <c r="B16" s="25"/>
      <c r="C16" s="25"/>
      <c r="D16" s="25"/>
      <c r="E16" s="30"/>
      <c r="F16" s="40"/>
      <c r="G16" s="40"/>
      <c r="H16" s="40"/>
      <c r="I16" s="40"/>
      <c r="J16" s="40"/>
      <c r="K16" s="40"/>
      <c r="L16" s="40"/>
    </row>
    <row r="17" spans="1:12" ht="12.75">
      <c r="A17" s="30"/>
      <c r="B17" s="25">
        <v>3</v>
      </c>
      <c r="C17" s="25" t="s">
        <v>26</v>
      </c>
      <c r="D17" s="25"/>
      <c r="E17" s="30" t="s">
        <v>42</v>
      </c>
      <c r="F17" s="40">
        <f aca="true" t="shared" si="4" ref="F17:K17">+F18</f>
        <v>0</v>
      </c>
      <c r="G17" s="40">
        <f t="shared" si="4"/>
        <v>0</v>
      </c>
      <c r="H17" s="40">
        <f t="shared" si="4"/>
        <v>30000</v>
      </c>
      <c r="I17" s="40">
        <f t="shared" si="4"/>
        <v>30000</v>
      </c>
      <c r="J17" s="40">
        <f t="shared" si="4"/>
        <v>0</v>
      </c>
      <c r="K17" s="40">
        <f t="shared" si="4"/>
        <v>3600</v>
      </c>
      <c r="L17" s="40">
        <f>SUM(F17:K17)</f>
        <v>63600</v>
      </c>
    </row>
    <row r="18" spans="1:12" ht="12.75">
      <c r="A18" s="30"/>
      <c r="B18" s="25"/>
      <c r="C18" s="25">
        <v>3.1</v>
      </c>
      <c r="D18" s="25" t="s">
        <v>27</v>
      </c>
      <c r="E18" s="30"/>
      <c r="F18" s="40">
        <v>0</v>
      </c>
      <c r="G18" s="40">
        <v>0</v>
      </c>
      <c r="H18" s="40">
        <v>30000</v>
      </c>
      <c r="I18" s="40">
        <f>50000-20000</f>
        <v>30000</v>
      </c>
      <c r="J18" s="40">
        <v>0</v>
      </c>
      <c r="K18" s="40">
        <f>SUM(F18:J18)*0.06</f>
        <v>3600</v>
      </c>
      <c r="L18" s="40">
        <f>SUM(F18:K18)</f>
        <v>63600</v>
      </c>
    </row>
    <row r="19" spans="1:12" ht="12.75">
      <c r="A19" s="30"/>
      <c r="B19" s="25"/>
      <c r="C19" s="25"/>
      <c r="D19" s="25"/>
      <c r="E19" s="30"/>
      <c r="F19" s="40"/>
      <c r="G19" s="40"/>
      <c r="H19" s="40"/>
      <c r="I19" s="40"/>
      <c r="J19" s="40"/>
      <c r="K19" s="40"/>
      <c r="L19" s="40"/>
    </row>
    <row r="20" spans="1:13" ht="12.75">
      <c r="A20" s="30"/>
      <c r="B20" s="25">
        <v>4</v>
      </c>
      <c r="C20" s="25" t="s">
        <v>28</v>
      </c>
      <c r="D20" s="25"/>
      <c r="E20" s="30" t="s">
        <v>42</v>
      </c>
      <c r="F20" s="40">
        <f aca="true" t="shared" si="5" ref="F20:K20">+F21+F22+F23</f>
        <v>0</v>
      </c>
      <c r="G20" s="40">
        <f t="shared" si="5"/>
        <v>10000</v>
      </c>
      <c r="H20" s="40">
        <f t="shared" si="5"/>
        <v>35000</v>
      </c>
      <c r="I20" s="40">
        <f t="shared" si="5"/>
        <v>0</v>
      </c>
      <c r="J20" s="40">
        <f t="shared" si="5"/>
        <v>15000</v>
      </c>
      <c r="K20" s="40">
        <f t="shared" si="5"/>
        <v>3600</v>
      </c>
      <c r="L20" s="40">
        <f>SUM(F20:K20)</f>
        <v>63600</v>
      </c>
      <c r="M20" s="31"/>
    </row>
    <row r="21" spans="1:12" ht="12.75">
      <c r="A21" s="30"/>
      <c r="B21" s="25"/>
      <c r="C21" s="25">
        <v>4.1</v>
      </c>
      <c r="D21" s="25" t="s">
        <v>29</v>
      </c>
      <c r="E21" s="30"/>
      <c r="F21" s="40">
        <v>0</v>
      </c>
      <c r="G21" s="40">
        <v>5000</v>
      </c>
      <c r="H21" s="40">
        <v>5000</v>
      </c>
      <c r="I21" s="40">
        <v>0</v>
      </c>
      <c r="J21" s="40">
        <v>0</v>
      </c>
      <c r="K21" s="40">
        <f>SUM(F21:J21)*0.06</f>
        <v>600</v>
      </c>
      <c r="L21" s="40">
        <f>SUM(F21:K21)</f>
        <v>10600</v>
      </c>
    </row>
    <row r="22" spans="1:12" ht="12.75">
      <c r="A22" s="30"/>
      <c r="B22" s="25"/>
      <c r="C22" s="25">
        <v>4.2</v>
      </c>
      <c r="D22" s="25" t="s">
        <v>30</v>
      </c>
      <c r="E22" s="30"/>
      <c r="F22" s="40">
        <v>0</v>
      </c>
      <c r="G22" s="40">
        <v>0</v>
      </c>
      <c r="H22" s="40">
        <v>0</v>
      </c>
      <c r="I22" s="40">
        <v>0</v>
      </c>
      <c r="J22" s="40">
        <f>20000-5000</f>
        <v>15000</v>
      </c>
      <c r="K22" s="40">
        <f>SUM(F22:J22)*0.06</f>
        <v>900</v>
      </c>
      <c r="L22" s="40">
        <f>SUM(F22:K22)</f>
        <v>15900</v>
      </c>
    </row>
    <row r="23" spans="1:12" ht="12.75">
      <c r="A23" s="30"/>
      <c r="B23" s="25"/>
      <c r="C23" s="25">
        <v>4.3</v>
      </c>
      <c r="D23" s="25" t="s">
        <v>31</v>
      </c>
      <c r="E23" s="30"/>
      <c r="F23" s="40">
        <v>0</v>
      </c>
      <c r="G23" s="40">
        <v>5000</v>
      </c>
      <c r="H23" s="40">
        <v>30000</v>
      </c>
      <c r="I23" s="40">
        <v>0</v>
      </c>
      <c r="J23" s="40">
        <v>0</v>
      </c>
      <c r="K23" s="40">
        <f>SUM(F23:J23)*0.06</f>
        <v>2100</v>
      </c>
      <c r="L23" s="40">
        <f>SUM(F23:K23)</f>
        <v>37100</v>
      </c>
    </row>
    <row r="24" spans="1:12" ht="12.75">
      <c r="A24" s="30"/>
      <c r="B24" s="25"/>
      <c r="C24" s="25"/>
      <c r="D24" s="25"/>
      <c r="E24" s="30"/>
      <c r="F24" s="40"/>
      <c r="G24" s="40"/>
      <c r="H24" s="40"/>
      <c r="I24" s="40"/>
      <c r="J24" s="40"/>
      <c r="K24" s="40"/>
      <c r="L24" s="40"/>
    </row>
    <row r="25" spans="1:12" ht="12.75">
      <c r="A25" s="30"/>
      <c r="B25" s="25">
        <v>5</v>
      </c>
      <c r="C25" s="25" t="s">
        <v>32</v>
      </c>
      <c r="D25" s="25"/>
      <c r="E25" s="30" t="s">
        <v>42</v>
      </c>
      <c r="F25" s="40">
        <f aca="true" t="shared" si="6" ref="F25:K25">+F26+F27</f>
        <v>0</v>
      </c>
      <c r="G25" s="40">
        <f t="shared" si="6"/>
        <v>0</v>
      </c>
      <c r="H25" s="40">
        <f t="shared" si="6"/>
        <v>20000</v>
      </c>
      <c r="I25" s="40">
        <f t="shared" si="6"/>
        <v>0</v>
      </c>
      <c r="J25" s="40">
        <f t="shared" si="6"/>
        <v>0</v>
      </c>
      <c r="K25" s="40">
        <f t="shared" si="6"/>
        <v>1200</v>
      </c>
      <c r="L25" s="40">
        <f>SUM(F25:K25)</f>
        <v>21200</v>
      </c>
    </row>
    <row r="26" spans="1:12" ht="12.75">
      <c r="A26" s="30"/>
      <c r="B26" s="25"/>
      <c r="C26" s="25">
        <v>5.1</v>
      </c>
      <c r="D26" s="25" t="s">
        <v>33</v>
      </c>
      <c r="E26" s="30"/>
      <c r="F26" s="40">
        <v>0</v>
      </c>
      <c r="G26" s="40">
        <v>0</v>
      </c>
      <c r="H26" s="40">
        <v>5000</v>
      </c>
      <c r="I26" s="40">
        <v>0</v>
      </c>
      <c r="J26" s="40">
        <v>0</v>
      </c>
      <c r="K26" s="40">
        <f>SUM(F26:J26)*0.06</f>
        <v>300</v>
      </c>
      <c r="L26" s="40">
        <f>SUM(F26:K26)</f>
        <v>5300</v>
      </c>
    </row>
    <row r="27" spans="1:12" ht="12.75">
      <c r="A27" s="30"/>
      <c r="B27" s="25"/>
      <c r="C27" s="25">
        <v>5.2</v>
      </c>
      <c r="D27" s="25" t="s">
        <v>34</v>
      </c>
      <c r="E27" s="30"/>
      <c r="F27" s="40">
        <v>0</v>
      </c>
      <c r="G27" s="40">
        <v>0</v>
      </c>
      <c r="H27" s="40">
        <v>15000</v>
      </c>
      <c r="I27" s="40">
        <v>0</v>
      </c>
      <c r="J27" s="40">
        <v>0</v>
      </c>
      <c r="K27" s="40">
        <f>SUM(F27:J27)*0.06</f>
        <v>900</v>
      </c>
      <c r="L27" s="40">
        <f>SUM(F27:K27)</f>
        <v>15900</v>
      </c>
    </row>
    <row r="28" spans="1:12" ht="12.75">
      <c r="A28" s="30"/>
      <c r="B28" s="25"/>
      <c r="C28" s="25"/>
      <c r="D28" s="25"/>
      <c r="E28" s="30"/>
      <c r="F28" s="40"/>
      <c r="G28" s="40"/>
      <c r="H28" s="40"/>
      <c r="I28" s="40"/>
      <c r="J28" s="40"/>
      <c r="K28" s="40"/>
      <c r="L28" s="40"/>
    </row>
    <row r="29" spans="1:12" ht="25.5">
      <c r="A29" s="30"/>
      <c r="B29" s="25">
        <v>6</v>
      </c>
      <c r="C29" s="26" t="s">
        <v>35</v>
      </c>
      <c r="D29" s="25"/>
      <c r="E29" s="30" t="s">
        <v>42</v>
      </c>
      <c r="F29" s="40">
        <f aca="true" t="shared" si="7" ref="F29:K29">+F30+F31</f>
        <v>0</v>
      </c>
      <c r="G29" s="40">
        <f t="shared" si="7"/>
        <v>0</v>
      </c>
      <c r="H29" s="40">
        <f t="shared" si="7"/>
        <v>20000</v>
      </c>
      <c r="I29" s="40">
        <f t="shared" si="7"/>
        <v>0</v>
      </c>
      <c r="J29" s="40">
        <f t="shared" si="7"/>
        <v>0</v>
      </c>
      <c r="K29" s="40">
        <f t="shared" si="7"/>
        <v>1200</v>
      </c>
      <c r="L29" s="40">
        <f>SUM(F29:K29)</f>
        <v>21200</v>
      </c>
    </row>
    <row r="30" spans="1:12" ht="12.75">
      <c r="A30" s="30"/>
      <c r="B30" s="25"/>
      <c r="C30" s="25">
        <v>6.1</v>
      </c>
      <c r="D30" s="25" t="s">
        <v>36</v>
      </c>
      <c r="E30" s="30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f>SUM(F30:J30)*0.06</f>
        <v>0</v>
      </c>
      <c r="L30" s="40">
        <f>SUM(F30:K30)</f>
        <v>0</v>
      </c>
    </row>
    <row r="31" spans="1:12" ht="12.75">
      <c r="A31" s="30"/>
      <c r="B31" s="25"/>
      <c r="C31" s="25">
        <v>6.2</v>
      </c>
      <c r="D31" s="25" t="s">
        <v>37</v>
      </c>
      <c r="E31" s="30"/>
      <c r="F31" s="40">
        <v>0</v>
      </c>
      <c r="G31" s="40">
        <v>0</v>
      </c>
      <c r="H31" s="40">
        <f>40000-20000</f>
        <v>20000</v>
      </c>
      <c r="I31" s="40">
        <v>0</v>
      </c>
      <c r="J31" s="40">
        <v>0</v>
      </c>
      <c r="K31" s="40">
        <f>SUM(F31:J31)*0.06</f>
        <v>1200</v>
      </c>
      <c r="L31" s="40">
        <f>SUM(F31:K31)</f>
        <v>21200</v>
      </c>
    </row>
    <row r="32" spans="1:12" ht="12.75">
      <c r="A32" s="30"/>
      <c r="B32" s="25"/>
      <c r="C32" s="25"/>
      <c r="D32" s="25"/>
      <c r="E32" s="30"/>
      <c r="F32" s="40"/>
      <c r="G32" s="40"/>
      <c r="H32" s="40"/>
      <c r="I32" s="40"/>
      <c r="J32" s="40"/>
      <c r="K32" s="40"/>
      <c r="L32" s="40"/>
    </row>
    <row r="33" spans="1:12" ht="25.5">
      <c r="A33" s="30"/>
      <c r="B33" s="25">
        <v>7</v>
      </c>
      <c r="C33" s="26" t="s">
        <v>38</v>
      </c>
      <c r="D33" s="25"/>
      <c r="E33" s="30" t="s">
        <v>42</v>
      </c>
      <c r="F33" s="40">
        <f aca="true" t="shared" si="8" ref="F33:K33">+F34</f>
        <v>179556</v>
      </c>
      <c r="G33" s="40">
        <f t="shared" si="8"/>
        <v>0</v>
      </c>
      <c r="H33" s="40">
        <f t="shared" si="8"/>
        <v>0</v>
      </c>
      <c r="I33" s="40">
        <f t="shared" si="8"/>
        <v>0</v>
      </c>
      <c r="J33" s="40">
        <f t="shared" si="8"/>
        <v>0</v>
      </c>
      <c r="K33" s="40">
        <f t="shared" si="8"/>
        <v>10773.359999999999</v>
      </c>
      <c r="L33" s="40">
        <f>SUM(F33:K33)</f>
        <v>190329.36</v>
      </c>
    </row>
    <row r="34" spans="1:12" ht="12.75">
      <c r="A34" s="30"/>
      <c r="B34" s="25"/>
      <c r="C34" s="25">
        <v>7.1</v>
      </c>
      <c r="D34" s="25" t="s">
        <v>39</v>
      </c>
      <c r="E34" s="30"/>
      <c r="F34" s="40">
        <v>179556</v>
      </c>
      <c r="G34" s="40">
        <v>0</v>
      </c>
      <c r="H34" s="40">
        <v>0</v>
      </c>
      <c r="I34" s="40">
        <v>0</v>
      </c>
      <c r="J34" s="40">
        <v>0</v>
      </c>
      <c r="K34" s="40">
        <f>SUM(F34:J34)*0.06</f>
        <v>10773.359999999999</v>
      </c>
      <c r="L34" s="40">
        <f>SUM(F34:K34)</f>
        <v>190329.36</v>
      </c>
    </row>
  </sheetData>
  <printOptions gridLines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5" r:id="rId1"/>
  <headerFooter alignWithMargins="0">
    <oddFooter>&amp;R&amp;8Page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Y93"/>
  <sheetViews>
    <sheetView zoomScaleSheetLayoutView="75" workbookViewId="0" topLeftCell="H3">
      <selection activeCell="H3" sqref="A3:IV3"/>
    </sheetView>
  </sheetViews>
  <sheetFormatPr defaultColWidth="9.140625" defaultRowHeight="12.75"/>
  <cols>
    <col min="1" max="1" width="19.57421875" style="0" customWidth="1"/>
    <col min="2" max="2" width="3.421875" style="97" customWidth="1"/>
    <col min="3" max="3" width="28.00390625" style="97" customWidth="1"/>
    <col min="4" max="4" width="4.7109375" style="97" customWidth="1"/>
    <col min="5" max="5" width="30.57421875" style="97" customWidth="1"/>
    <col min="6" max="6" width="7.140625" style="0" customWidth="1"/>
    <col min="7" max="7" width="10.57421875" style="0" customWidth="1"/>
    <col min="8" max="8" width="10.28125" style="0" customWidth="1"/>
    <col min="9" max="9" width="11.7109375" style="0" customWidth="1"/>
    <col min="10" max="10" width="11.57421875" style="0" customWidth="1"/>
    <col min="12" max="12" width="12.00390625" style="0" customWidth="1"/>
    <col min="13" max="13" width="11.7109375" style="0" customWidth="1"/>
    <col min="14" max="17" width="12.140625" style="0" customWidth="1"/>
    <col min="18" max="19" width="10.140625" style="0" customWidth="1"/>
    <col min="20" max="20" width="17.00390625" style="0" customWidth="1"/>
  </cols>
  <sheetData>
    <row r="1" spans="1:25" ht="15.75">
      <c r="A1" s="66" t="s">
        <v>685</v>
      </c>
      <c r="B1" s="95"/>
      <c r="C1" s="94"/>
      <c r="D1" s="94"/>
      <c r="E1" s="95"/>
      <c r="F1" s="90"/>
      <c r="G1" s="90"/>
      <c r="H1" s="90"/>
      <c r="I1" s="90"/>
      <c r="J1" s="90"/>
      <c r="K1" s="90"/>
      <c r="L1" s="90"/>
      <c r="M1" s="90"/>
      <c r="N1" s="90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2" customFormat="1" ht="22.5">
      <c r="A2" s="100" t="s">
        <v>66</v>
      </c>
      <c r="B2" s="100"/>
      <c r="C2" s="100" t="s">
        <v>172</v>
      </c>
      <c r="D2" s="100"/>
      <c r="E2" s="100" t="s">
        <v>67</v>
      </c>
      <c r="F2" s="7" t="s">
        <v>325</v>
      </c>
      <c r="G2" s="7" t="s">
        <v>61</v>
      </c>
      <c r="H2" s="7" t="s">
        <v>62</v>
      </c>
      <c r="I2" s="7" t="s">
        <v>15</v>
      </c>
      <c r="J2" s="7" t="s">
        <v>333</v>
      </c>
      <c r="K2" s="7" t="s">
        <v>63</v>
      </c>
      <c r="L2" s="7" t="s">
        <v>16</v>
      </c>
      <c r="M2" s="7" t="s">
        <v>64</v>
      </c>
      <c r="N2" s="7" t="s">
        <v>65</v>
      </c>
      <c r="O2" s="18"/>
      <c r="P2" s="18"/>
      <c r="Q2" s="18"/>
      <c r="R2" s="91"/>
      <c r="S2" s="91"/>
      <c r="T2" s="21"/>
      <c r="U2" s="21"/>
      <c r="V2" s="21"/>
      <c r="W2" s="21"/>
      <c r="X2" s="21"/>
      <c r="Y2" s="21"/>
    </row>
    <row r="3" spans="1:25" s="2" customFormat="1" ht="15.75">
      <c r="A3" s="89" t="s">
        <v>668</v>
      </c>
      <c r="B3" s="94"/>
      <c r="C3" s="94"/>
      <c r="D3" s="94"/>
      <c r="E3" s="101" t="s">
        <v>330</v>
      </c>
      <c r="F3" s="89"/>
      <c r="G3" s="102">
        <f aca="true" t="shared" si="0" ref="G3:M3">+G5+G11+G19+G24+G30+G34+G40+G43+G47+G50+G53+G56+G59+G62</f>
        <v>267000</v>
      </c>
      <c r="H3" s="102">
        <f t="shared" si="0"/>
        <v>75000</v>
      </c>
      <c r="I3" s="102">
        <f t="shared" si="0"/>
        <v>195500</v>
      </c>
      <c r="J3" s="102">
        <f t="shared" si="0"/>
        <v>31000</v>
      </c>
      <c r="K3" s="102">
        <f t="shared" si="0"/>
        <v>0</v>
      </c>
      <c r="L3" s="102">
        <f t="shared" si="0"/>
        <v>90000</v>
      </c>
      <c r="M3" s="102">
        <f t="shared" si="0"/>
        <v>39510</v>
      </c>
      <c r="N3" s="102">
        <f>SUM(G3:M3)</f>
        <v>698010</v>
      </c>
      <c r="O3" s="99"/>
      <c r="P3" s="13"/>
      <c r="Q3" s="13"/>
      <c r="R3" s="3"/>
      <c r="S3" s="3"/>
      <c r="T3" s="3"/>
      <c r="U3" s="3"/>
      <c r="V3" s="3"/>
      <c r="W3" s="3"/>
      <c r="X3" s="3"/>
      <c r="Y3" s="3"/>
    </row>
    <row r="4" spans="1:25" ht="15">
      <c r="A4" s="89"/>
      <c r="B4" s="95"/>
      <c r="C4" s="94"/>
      <c r="D4" s="94"/>
      <c r="E4" s="96"/>
      <c r="F4" s="90"/>
      <c r="G4" s="93"/>
      <c r="H4" s="93"/>
      <c r="I4" s="93"/>
      <c r="J4" s="93"/>
      <c r="K4" s="93"/>
      <c r="L4" s="93"/>
      <c r="M4" s="93"/>
      <c r="N4" s="93"/>
      <c r="O4" s="6"/>
      <c r="P4" s="6"/>
      <c r="Q4" s="6"/>
      <c r="R4" s="1"/>
      <c r="S4" s="1"/>
      <c r="T4" s="1"/>
      <c r="U4" s="1"/>
      <c r="V4" s="1"/>
      <c r="W4" s="1"/>
      <c r="X4" s="1"/>
      <c r="Y4" s="1"/>
    </row>
    <row r="5" spans="1:25" ht="25.5">
      <c r="A5" s="90"/>
      <c r="B5" s="95">
        <v>1</v>
      </c>
      <c r="C5" s="96" t="s">
        <v>619</v>
      </c>
      <c r="D5" s="96"/>
      <c r="E5" s="96"/>
      <c r="F5" s="90" t="s">
        <v>620</v>
      </c>
      <c r="G5" s="93">
        <f aca="true" t="shared" si="1" ref="G5:M5">+G6+G7+G8+G9</f>
        <v>0</v>
      </c>
      <c r="H5" s="93">
        <f t="shared" si="1"/>
        <v>20000</v>
      </c>
      <c r="I5" s="93">
        <f t="shared" si="1"/>
        <v>0</v>
      </c>
      <c r="J5" s="93">
        <f t="shared" si="1"/>
        <v>2000</v>
      </c>
      <c r="K5" s="93">
        <f t="shared" si="1"/>
        <v>0</v>
      </c>
      <c r="L5" s="93">
        <f t="shared" si="1"/>
        <v>0</v>
      </c>
      <c r="M5" s="93">
        <f t="shared" si="1"/>
        <v>1320</v>
      </c>
      <c r="N5" s="93">
        <f>SUM(G5:M5)</f>
        <v>23320</v>
      </c>
      <c r="O5" s="6"/>
      <c r="P5" s="6"/>
      <c r="Q5" s="6"/>
      <c r="R5" s="1"/>
      <c r="S5" s="1"/>
      <c r="T5" s="1"/>
      <c r="U5" s="1"/>
      <c r="V5" s="1"/>
      <c r="W5" s="1"/>
      <c r="X5" s="1"/>
      <c r="Y5" s="1"/>
    </row>
    <row r="6" spans="1:25" ht="15">
      <c r="A6" s="90"/>
      <c r="B6" s="95"/>
      <c r="C6" s="95"/>
      <c r="D6" s="95">
        <v>1.1</v>
      </c>
      <c r="E6" s="96" t="s">
        <v>621</v>
      </c>
      <c r="F6" s="90"/>
      <c r="G6" s="93">
        <v>0</v>
      </c>
      <c r="H6" s="93">
        <v>0</v>
      </c>
      <c r="I6" s="93">
        <v>0</v>
      </c>
      <c r="J6" s="93">
        <v>2000</v>
      </c>
      <c r="K6" s="93">
        <v>0</v>
      </c>
      <c r="L6" s="93">
        <v>0</v>
      </c>
      <c r="M6" s="93">
        <f>SUM(G6:L6)*0.06</f>
        <v>120</v>
      </c>
      <c r="N6" s="93">
        <f>SUM(G6:M6)</f>
        <v>2120</v>
      </c>
      <c r="O6" s="6"/>
      <c r="P6" s="6"/>
      <c r="Q6" s="6"/>
      <c r="R6" s="1"/>
      <c r="S6" s="1"/>
      <c r="T6" s="1"/>
      <c r="U6" s="1"/>
      <c r="V6" s="1"/>
      <c r="W6" s="1"/>
      <c r="X6" s="1"/>
      <c r="Y6" s="1"/>
    </row>
    <row r="7" spans="1:25" ht="25.5">
      <c r="A7" s="90"/>
      <c r="B7" s="95"/>
      <c r="C7" s="95"/>
      <c r="D7" s="95">
        <v>1.2</v>
      </c>
      <c r="E7" s="96" t="s">
        <v>622</v>
      </c>
      <c r="F7" s="90"/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f>SUM(G7:L7)*0.06</f>
        <v>0</v>
      </c>
      <c r="N7" s="93">
        <f>SUM(G7:M7)</f>
        <v>0</v>
      </c>
      <c r="O7" s="6"/>
      <c r="P7" s="6"/>
      <c r="Q7" s="6"/>
      <c r="R7" s="1"/>
      <c r="S7" s="1"/>
      <c r="T7" s="1"/>
      <c r="U7" s="1"/>
      <c r="V7" s="1"/>
      <c r="W7" s="1"/>
      <c r="X7" s="1"/>
      <c r="Y7" s="1"/>
    </row>
    <row r="8" spans="1:25" ht="15">
      <c r="A8" s="90"/>
      <c r="B8" s="95"/>
      <c r="C8" s="95"/>
      <c r="D8" s="95">
        <v>1.3</v>
      </c>
      <c r="E8" s="96" t="s">
        <v>623</v>
      </c>
      <c r="F8" s="90"/>
      <c r="G8" s="93">
        <v>0</v>
      </c>
      <c r="H8" s="93">
        <v>10000</v>
      </c>
      <c r="I8" s="93">
        <v>0</v>
      </c>
      <c r="J8" s="93">
        <v>0</v>
      </c>
      <c r="K8" s="93">
        <v>0</v>
      </c>
      <c r="L8" s="93">
        <v>0</v>
      </c>
      <c r="M8" s="93">
        <f>SUM(G8:L8)*0.06</f>
        <v>600</v>
      </c>
      <c r="N8" s="93">
        <f>SUM(G8:M8)</f>
        <v>10600</v>
      </c>
      <c r="O8" s="6"/>
      <c r="P8" s="6"/>
      <c r="Q8" s="6"/>
      <c r="R8" s="1"/>
      <c r="S8" s="1"/>
      <c r="T8" s="1"/>
      <c r="U8" s="1"/>
      <c r="V8" s="1"/>
      <c r="W8" s="1"/>
      <c r="X8" s="1"/>
      <c r="Y8" s="1"/>
    </row>
    <row r="9" spans="1:25" ht="15">
      <c r="A9" s="90"/>
      <c r="B9" s="95"/>
      <c r="C9" s="95"/>
      <c r="D9" s="95">
        <v>1.4</v>
      </c>
      <c r="E9" s="96" t="s">
        <v>624</v>
      </c>
      <c r="F9" s="90"/>
      <c r="G9" s="93">
        <v>0</v>
      </c>
      <c r="H9" s="93">
        <v>10000</v>
      </c>
      <c r="I9" s="93">
        <v>0</v>
      </c>
      <c r="J9" s="93">
        <v>0</v>
      </c>
      <c r="K9" s="93">
        <v>0</v>
      </c>
      <c r="L9" s="93">
        <v>0</v>
      </c>
      <c r="M9" s="93">
        <f>SUM(G9:L9)*0.06</f>
        <v>600</v>
      </c>
      <c r="N9" s="93">
        <f>SUM(G9:M9)</f>
        <v>10600</v>
      </c>
      <c r="O9" s="6"/>
      <c r="P9" s="6"/>
      <c r="Q9" s="6"/>
      <c r="R9" s="1"/>
      <c r="S9" s="1"/>
      <c r="T9" s="1"/>
      <c r="U9" s="1"/>
      <c r="V9" s="1"/>
      <c r="W9" s="1"/>
      <c r="X9" s="1"/>
      <c r="Y9" s="1"/>
    </row>
    <row r="10" spans="1:25" ht="15">
      <c r="A10" s="90"/>
      <c r="B10" s="95"/>
      <c r="C10" s="95"/>
      <c r="D10" s="95"/>
      <c r="E10" s="96"/>
      <c r="F10" s="90"/>
      <c r="G10" s="93"/>
      <c r="H10" s="93"/>
      <c r="I10" s="93"/>
      <c r="J10" s="93"/>
      <c r="K10" s="93"/>
      <c r="L10" s="93"/>
      <c r="M10" s="93"/>
      <c r="N10" s="93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</row>
    <row r="11" spans="1:25" ht="25.5">
      <c r="A11" s="90"/>
      <c r="B11" s="95">
        <v>2</v>
      </c>
      <c r="C11" s="96" t="s">
        <v>625</v>
      </c>
      <c r="D11" s="96"/>
      <c r="E11" s="96"/>
      <c r="F11" s="90" t="s">
        <v>620</v>
      </c>
      <c r="G11" s="93">
        <f aca="true" t="shared" si="2" ref="G11:M11">+G12+G13+G14+G15+G16+G17</f>
        <v>0</v>
      </c>
      <c r="H11" s="93">
        <f t="shared" si="2"/>
        <v>10000</v>
      </c>
      <c r="I11" s="93">
        <f t="shared" si="2"/>
        <v>73000</v>
      </c>
      <c r="J11" s="93">
        <f t="shared" si="2"/>
        <v>1000</v>
      </c>
      <c r="K11" s="93">
        <f t="shared" si="2"/>
        <v>0</v>
      </c>
      <c r="L11" s="93">
        <f t="shared" si="2"/>
        <v>0</v>
      </c>
      <c r="M11" s="93">
        <f t="shared" si="2"/>
        <v>5040</v>
      </c>
      <c r="N11" s="93">
        <f aca="true" t="shared" si="3" ref="N11:N17">SUM(G11:M11)</f>
        <v>89040</v>
      </c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</row>
    <row r="12" spans="1:25" ht="15">
      <c r="A12" s="90"/>
      <c r="B12" s="95"/>
      <c r="C12" s="95"/>
      <c r="D12" s="95">
        <v>2.1</v>
      </c>
      <c r="E12" s="96" t="s">
        <v>621</v>
      </c>
      <c r="F12" s="90"/>
      <c r="G12" s="93">
        <v>0</v>
      </c>
      <c r="H12" s="93">
        <v>0</v>
      </c>
      <c r="I12" s="93">
        <f>50000-48500</f>
        <v>1500</v>
      </c>
      <c r="J12" s="93">
        <v>0</v>
      </c>
      <c r="K12" s="93">
        <v>0</v>
      </c>
      <c r="L12" s="93">
        <v>0</v>
      </c>
      <c r="M12" s="93">
        <f aca="true" t="shared" si="4" ref="M12:M17">SUM(G12:L12)*0.06</f>
        <v>90</v>
      </c>
      <c r="N12" s="93">
        <f t="shared" si="3"/>
        <v>1590</v>
      </c>
      <c r="O12" s="6"/>
      <c r="P12" s="6"/>
      <c r="Q12" s="6"/>
      <c r="R12" s="87"/>
      <c r="S12" s="1"/>
      <c r="T12" s="4"/>
      <c r="U12" s="1"/>
      <c r="V12" s="1"/>
      <c r="W12" s="1"/>
      <c r="X12" s="1"/>
      <c r="Y12" s="1"/>
    </row>
    <row r="13" spans="1:25" ht="25.5">
      <c r="A13" s="90"/>
      <c r="B13" s="95"/>
      <c r="C13" s="95"/>
      <c r="D13" s="95">
        <v>2.2</v>
      </c>
      <c r="E13" s="96" t="s">
        <v>626</v>
      </c>
      <c r="F13" s="90"/>
      <c r="G13" s="93">
        <v>0</v>
      </c>
      <c r="H13" s="93">
        <v>0</v>
      </c>
      <c r="I13" s="93">
        <f>50000-48500</f>
        <v>1500</v>
      </c>
      <c r="J13" s="93">
        <v>1000</v>
      </c>
      <c r="K13" s="93">
        <v>0</v>
      </c>
      <c r="L13" s="93">
        <v>0</v>
      </c>
      <c r="M13" s="93">
        <f t="shared" si="4"/>
        <v>150</v>
      </c>
      <c r="N13" s="93">
        <f t="shared" si="3"/>
        <v>2650</v>
      </c>
      <c r="O13" s="6"/>
      <c r="P13" s="6"/>
      <c r="Q13" s="6"/>
      <c r="R13" s="87"/>
      <c r="S13" s="1"/>
      <c r="T13" s="4"/>
      <c r="U13" s="1"/>
      <c r="V13" s="1"/>
      <c r="W13" s="1"/>
      <c r="X13" s="1"/>
      <c r="Y13" s="1"/>
    </row>
    <row r="14" spans="1:25" ht="25.5">
      <c r="A14" s="90"/>
      <c r="B14" s="95"/>
      <c r="C14" s="95"/>
      <c r="D14" s="95">
        <v>2.3</v>
      </c>
      <c r="E14" s="96" t="s">
        <v>627</v>
      </c>
      <c r="F14" s="90"/>
      <c r="G14" s="93">
        <v>0</v>
      </c>
      <c r="H14" s="93">
        <v>0</v>
      </c>
      <c r="I14" s="93">
        <f>100000-30000</f>
        <v>70000</v>
      </c>
      <c r="J14" s="93">
        <v>0</v>
      </c>
      <c r="K14" s="93">
        <v>0</v>
      </c>
      <c r="L14" s="93">
        <v>0</v>
      </c>
      <c r="M14" s="93">
        <f t="shared" si="4"/>
        <v>4200</v>
      </c>
      <c r="N14" s="93">
        <f t="shared" si="3"/>
        <v>74200</v>
      </c>
      <c r="O14" s="6"/>
      <c r="P14" s="6"/>
      <c r="Q14" s="6"/>
      <c r="R14" s="87"/>
      <c r="S14" s="87"/>
      <c r="T14" s="4"/>
      <c r="U14" s="1"/>
      <c r="V14" s="1"/>
      <c r="W14" s="1"/>
      <c r="X14" s="1"/>
      <c r="Y14" s="1"/>
    </row>
    <row r="15" spans="1:25" ht="15">
      <c r="A15" s="90"/>
      <c r="B15" s="95"/>
      <c r="C15" s="96"/>
      <c r="D15" s="95">
        <v>2.4</v>
      </c>
      <c r="E15" s="96" t="s">
        <v>628</v>
      </c>
      <c r="F15" s="90"/>
      <c r="G15" s="93">
        <v>0</v>
      </c>
      <c r="H15" s="93">
        <f>20000-10000</f>
        <v>10000</v>
      </c>
      <c r="I15" s="93">
        <v>0</v>
      </c>
      <c r="J15" s="93">
        <v>0</v>
      </c>
      <c r="K15" s="93">
        <v>0</v>
      </c>
      <c r="L15" s="93">
        <v>0</v>
      </c>
      <c r="M15" s="93">
        <f t="shared" si="4"/>
        <v>600</v>
      </c>
      <c r="N15" s="93">
        <f t="shared" si="3"/>
        <v>10600</v>
      </c>
      <c r="O15" s="6"/>
      <c r="P15" s="6"/>
      <c r="Q15" s="6"/>
      <c r="R15" s="87"/>
      <c r="S15" s="87"/>
      <c r="T15" s="4"/>
      <c r="U15" s="1"/>
      <c r="V15" s="1"/>
      <c r="W15" s="1"/>
      <c r="X15" s="1"/>
      <c r="Y15" s="1"/>
    </row>
    <row r="16" spans="1:25" ht="15">
      <c r="A16" s="90"/>
      <c r="B16" s="95"/>
      <c r="C16" s="96"/>
      <c r="D16" s="95">
        <v>2.5</v>
      </c>
      <c r="E16" s="96" t="s">
        <v>629</v>
      </c>
      <c r="F16" s="90"/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f t="shared" si="4"/>
        <v>0</v>
      </c>
      <c r="N16" s="93">
        <f t="shared" si="3"/>
        <v>0</v>
      </c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</row>
    <row r="17" spans="1:25" ht="15">
      <c r="A17" s="90"/>
      <c r="B17" s="95"/>
      <c r="C17" s="96"/>
      <c r="D17" s="95">
        <v>2.6</v>
      </c>
      <c r="E17" s="96" t="s">
        <v>630</v>
      </c>
      <c r="F17" s="90"/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f t="shared" si="4"/>
        <v>0</v>
      </c>
      <c r="N17" s="93">
        <f t="shared" si="3"/>
        <v>0</v>
      </c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</row>
    <row r="18" spans="1:25" ht="15">
      <c r="A18" s="90"/>
      <c r="B18" s="95"/>
      <c r="C18" s="96"/>
      <c r="D18" s="96"/>
      <c r="E18" s="96"/>
      <c r="F18" s="90"/>
      <c r="G18" s="93"/>
      <c r="H18" s="93"/>
      <c r="I18" s="93"/>
      <c r="J18" s="93"/>
      <c r="K18" s="93"/>
      <c r="L18" s="93"/>
      <c r="M18" s="93"/>
      <c r="N18" s="93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</row>
    <row r="19" spans="1:25" ht="25.5">
      <c r="A19" s="90"/>
      <c r="B19" s="95">
        <v>3</v>
      </c>
      <c r="C19" s="96" t="s">
        <v>631</v>
      </c>
      <c r="D19" s="96"/>
      <c r="E19" s="96"/>
      <c r="F19" s="90" t="s">
        <v>620</v>
      </c>
      <c r="G19" s="93">
        <f aca="true" t="shared" si="5" ref="G19:M19">+G20+G21+G22</f>
        <v>0</v>
      </c>
      <c r="H19" s="93">
        <f t="shared" si="5"/>
        <v>0</v>
      </c>
      <c r="I19" s="93">
        <f t="shared" si="5"/>
        <v>30000</v>
      </c>
      <c r="J19" s="93">
        <f t="shared" si="5"/>
        <v>1000</v>
      </c>
      <c r="K19" s="93">
        <f t="shared" si="5"/>
        <v>0</v>
      </c>
      <c r="L19" s="93">
        <f t="shared" si="5"/>
        <v>0</v>
      </c>
      <c r="M19" s="93">
        <f t="shared" si="5"/>
        <v>1860</v>
      </c>
      <c r="N19" s="93">
        <f>SUM(G19:M19)</f>
        <v>32860</v>
      </c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</row>
    <row r="20" spans="1:25" ht="38.25">
      <c r="A20" s="90"/>
      <c r="B20" s="95"/>
      <c r="C20" s="96"/>
      <c r="D20" s="96">
        <v>3.1</v>
      </c>
      <c r="E20" s="96" t="s">
        <v>632</v>
      </c>
      <c r="F20" s="90"/>
      <c r="G20" s="93">
        <v>0</v>
      </c>
      <c r="H20" s="93">
        <v>0</v>
      </c>
      <c r="I20" s="93">
        <v>10000</v>
      </c>
      <c r="J20" s="93">
        <v>1000</v>
      </c>
      <c r="K20" s="93">
        <v>0</v>
      </c>
      <c r="L20" s="93">
        <v>0</v>
      </c>
      <c r="M20" s="93">
        <f>SUM(G20:L20)*0.06</f>
        <v>660</v>
      </c>
      <c r="N20" s="93">
        <f>SUM(G20:M20)</f>
        <v>11660</v>
      </c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</row>
    <row r="21" spans="1:25" ht="25.5">
      <c r="A21" s="90"/>
      <c r="B21" s="95"/>
      <c r="C21" s="96"/>
      <c r="D21" s="96">
        <v>3.2</v>
      </c>
      <c r="E21" s="96" t="s">
        <v>633</v>
      </c>
      <c r="F21" s="90"/>
      <c r="G21" s="93">
        <v>0</v>
      </c>
      <c r="H21" s="93">
        <v>0</v>
      </c>
      <c r="I21" s="93">
        <v>10000</v>
      </c>
      <c r="J21" s="93">
        <v>0</v>
      </c>
      <c r="K21" s="93">
        <v>0</v>
      </c>
      <c r="L21" s="93">
        <v>0</v>
      </c>
      <c r="M21" s="93">
        <f>SUM(G21:L21)*0.06</f>
        <v>600</v>
      </c>
      <c r="N21" s="93">
        <f>SUM(G21:M21)</f>
        <v>10600</v>
      </c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</row>
    <row r="22" spans="1:25" ht="25.5">
      <c r="A22" s="90"/>
      <c r="B22" s="95"/>
      <c r="C22" s="96"/>
      <c r="D22" s="96">
        <v>3.3</v>
      </c>
      <c r="E22" s="96" t="s">
        <v>634</v>
      </c>
      <c r="F22" s="90"/>
      <c r="G22" s="93">
        <v>0</v>
      </c>
      <c r="H22" s="93">
        <v>0</v>
      </c>
      <c r="I22" s="93">
        <f>20000-10000</f>
        <v>10000</v>
      </c>
      <c r="J22" s="93">
        <v>0</v>
      </c>
      <c r="K22" s="93">
        <v>0</v>
      </c>
      <c r="L22" s="93">
        <v>0</v>
      </c>
      <c r="M22" s="93">
        <f>SUM(G22:L22)*0.06</f>
        <v>600</v>
      </c>
      <c r="N22" s="93">
        <f>SUM(G22:M22)</f>
        <v>10600</v>
      </c>
      <c r="O22" s="6"/>
      <c r="P22" s="6"/>
      <c r="Q22" s="6"/>
      <c r="R22" s="87"/>
      <c r="S22" s="87"/>
      <c r="T22" s="4"/>
      <c r="U22" s="1"/>
      <c r="V22" s="1"/>
      <c r="W22" s="1"/>
      <c r="X22" s="1"/>
      <c r="Y22" s="1"/>
    </row>
    <row r="23" spans="1:25" ht="15">
      <c r="A23" s="90"/>
      <c r="B23" s="95"/>
      <c r="C23" s="96"/>
      <c r="D23" s="96"/>
      <c r="E23" s="96"/>
      <c r="F23" s="90"/>
      <c r="G23" s="93"/>
      <c r="H23" s="93"/>
      <c r="I23" s="93"/>
      <c r="J23" s="93"/>
      <c r="K23" s="93"/>
      <c r="L23" s="93"/>
      <c r="M23" s="93"/>
      <c r="N23" s="93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</row>
    <row r="24" spans="1:25" ht="15">
      <c r="A24" s="90"/>
      <c r="B24" s="95">
        <v>4</v>
      </c>
      <c r="C24" s="96" t="s">
        <v>635</v>
      </c>
      <c r="D24" s="96"/>
      <c r="E24" s="96"/>
      <c r="F24" s="90" t="s">
        <v>620</v>
      </c>
      <c r="G24" s="93">
        <f aca="true" t="shared" si="6" ref="G24:M24">+G25+G26+G27+G28</f>
        <v>0</v>
      </c>
      <c r="H24" s="93">
        <f t="shared" si="6"/>
        <v>0</v>
      </c>
      <c r="I24" s="93">
        <f t="shared" si="6"/>
        <v>54000</v>
      </c>
      <c r="J24" s="93">
        <f t="shared" si="6"/>
        <v>1000</v>
      </c>
      <c r="K24" s="93">
        <f t="shared" si="6"/>
        <v>0</v>
      </c>
      <c r="L24" s="93">
        <f t="shared" si="6"/>
        <v>0</v>
      </c>
      <c r="M24" s="93">
        <f t="shared" si="6"/>
        <v>3300</v>
      </c>
      <c r="N24" s="93">
        <f>SUM(G24:M24)</f>
        <v>58300</v>
      </c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</row>
    <row r="25" spans="1:25" ht="15">
      <c r="A25" s="90"/>
      <c r="B25" s="95"/>
      <c r="C25" s="95"/>
      <c r="D25" s="95">
        <v>4.1</v>
      </c>
      <c r="E25" s="96" t="s">
        <v>636</v>
      </c>
      <c r="F25" s="90"/>
      <c r="G25" s="93">
        <v>0</v>
      </c>
      <c r="H25" s="93">
        <v>0</v>
      </c>
      <c r="I25" s="93">
        <v>10000</v>
      </c>
      <c r="J25" s="93">
        <v>1000</v>
      </c>
      <c r="K25" s="93">
        <v>0</v>
      </c>
      <c r="L25" s="93">
        <v>0</v>
      </c>
      <c r="M25" s="93">
        <f>SUM(G25:L25)*0.06</f>
        <v>660</v>
      </c>
      <c r="N25" s="93">
        <f>SUM(G25:M25)</f>
        <v>11660</v>
      </c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</row>
    <row r="26" spans="1:25" ht="25.5">
      <c r="A26" s="90"/>
      <c r="B26" s="95"/>
      <c r="C26" s="95"/>
      <c r="D26" s="95">
        <v>4.2</v>
      </c>
      <c r="E26" s="96" t="s">
        <v>637</v>
      </c>
      <c r="F26" s="90"/>
      <c r="G26" s="93">
        <v>0</v>
      </c>
      <c r="H26" s="93">
        <v>0</v>
      </c>
      <c r="I26" s="93">
        <v>10000</v>
      </c>
      <c r="J26" s="93">
        <v>0</v>
      </c>
      <c r="K26" s="93">
        <v>0</v>
      </c>
      <c r="L26" s="93">
        <v>0</v>
      </c>
      <c r="M26" s="93">
        <f>SUM(G26:L26)*0.06</f>
        <v>600</v>
      </c>
      <c r="N26" s="93">
        <f>SUM(G26:M26)</f>
        <v>10600</v>
      </c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</row>
    <row r="27" spans="1:25" ht="15">
      <c r="A27" s="90"/>
      <c r="B27" s="95"/>
      <c r="C27" s="95"/>
      <c r="D27" s="95">
        <v>4.3</v>
      </c>
      <c r="E27" s="96" t="s">
        <v>638</v>
      </c>
      <c r="F27" s="90"/>
      <c r="G27" s="93">
        <v>0</v>
      </c>
      <c r="H27" s="93">
        <v>0</v>
      </c>
      <c r="I27" s="93">
        <v>10000</v>
      </c>
      <c r="J27" s="93">
        <v>0</v>
      </c>
      <c r="K27" s="93">
        <v>0</v>
      </c>
      <c r="L27" s="93">
        <v>0</v>
      </c>
      <c r="M27" s="93">
        <f>SUM(G27:L27)*0.06</f>
        <v>600</v>
      </c>
      <c r="N27" s="93">
        <f>SUM(G27:M27)</f>
        <v>10600</v>
      </c>
      <c r="O27" s="6"/>
      <c r="P27" s="6"/>
      <c r="Q27" s="6"/>
      <c r="R27" s="1"/>
      <c r="S27" s="1"/>
      <c r="T27" s="1"/>
      <c r="U27" s="1"/>
      <c r="V27" s="1"/>
      <c r="W27" s="1"/>
      <c r="X27" s="1"/>
      <c r="Y27" s="1"/>
    </row>
    <row r="28" spans="1:25" ht="15">
      <c r="A28" s="90"/>
      <c r="B28" s="95"/>
      <c r="C28" s="95"/>
      <c r="D28" s="95">
        <v>4.4</v>
      </c>
      <c r="E28" s="96" t="s">
        <v>639</v>
      </c>
      <c r="F28" s="90"/>
      <c r="G28" s="93">
        <v>0</v>
      </c>
      <c r="H28" s="93">
        <v>0</v>
      </c>
      <c r="I28" s="93">
        <v>24000</v>
      </c>
      <c r="J28" s="93">
        <v>0</v>
      </c>
      <c r="K28" s="93">
        <v>0</v>
      </c>
      <c r="L28" s="93">
        <v>0</v>
      </c>
      <c r="M28" s="93">
        <f>SUM(G28:L28)*0.06</f>
        <v>1440</v>
      </c>
      <c r="N28" s="93">
        <f>SUM(G28:M28)</f>
        <v>25440</v>
      </c>
      <c r="O28" s="6"/>
      <c r="P28" s="6"/>
      <c r="Q28" s="6"/>
      <c r="R28" s="1"/>
      <c r="S28" s="1"/>
      <c r="T28" s="1"/>
      <c r="U28" s="1"/>
      <c r="V28" s="1"/>
      <c r="W28" s="1"/>
      <c r="X28" s="1"/>
      <c r="Y28" s="1"/>
    </row>
    <row r="29" spans="1:25" ht="15">
      <c r="A29" s="90"/>
      <c r="B29" s="95"/>
      <c r="C29" s="96"/>
      <c r="D29" s="96"/>
      <c r="E29" s="96"/>
      <c r="F29" s="90"/>
      <c r="G29" s="93"/>
      <c r="H29" s="93"/>
      <c r="I29" s="93"/>
      <c r="J29" s="93"/>
      <c r="K29" s="93"/>
      <c r="L29" s="93"/>
      <c r="M29" s="93"/>
      <c r="N29" s="93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</row>
    <row r="30" spans="1:25" ht="15">
      <c r="A30" s="90"/>
      <c r="B30" s="95">
        <v>5</v>
      </c>
      <c r="C30" s="96" t="s">
        <v>640</v>
      </c>
      <c r="D30" s="96"/>
      <c r="E30" s="96"/>
      <c r="F30" s="90" t="s">
        <v>620</v>
      </c>
      <c r="G30" s="93">
        <f aca="true" t="shared" si="7" ref="G30:M30">+G31+G32</f>
        <v>0</v>
      </c>
      <c r="H30" s="93">
        <f t="shared" si="7"/>
        <v>30000</v>
      </c>
      <c r="I30" s="93">
        <f t="shared" si="7"/>
        <v>20000</v>
      </c>
      <c r="J30" s="93">
        <f t="shared" si="7"/>
        <v>6000</v>
      </c>
      <c r="K30" s="93">
        <f t="shared" si="7"/>
        <v>0</v>
      </c>
      <c r="L30" s="93">
        <f t="shared" si="7"/>
        <v>0</v>
      </c>
      <c r="M30" s="93">
        <f t="shared" si="7"/>
        <v>3360</v>
      </c>
      <c r="N30" s="93">
        <f>SUM(G30:M30)</f>
        <v>59360</v>
      </c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</row>
    <row r="31" spans="1:25" ht="25.5">
      <c r="A31" s="90"/>
      <c r="B31" s="95"/>
      <c r="C31" s="96"/>
      <c r="D31" s="96">
        <v>5.1</v>
      </c>
      <c r="E31" s="96" t="s">
        <v>641</v>
      </c>
      <c r="F31" s="90"/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f>SUM(G31:L31)*0.06</f>
        <v>0</v>
      </c>
      <c r="N31" s="93">
        <f>SUM(G31:M31)</f>
        <v>0</v>
      </c>
      <c r="O31" s="6"/>
      <c r="P31" s="6"/>
      <c r="Q31" s="6"/>
      <c r="R31" s="1"/>
      <c r="S31" s="1"/>
      <c r="T31" s="1"/>
      <c r="U31" s="1"/>
      <c r="V31" s="1"/>
      <c r="W31" s="1"/>
      <c r="X31" s="1"/>
      <c r="Y31" s="1"/>
    </row>
    <row r="32" spans="1:25" ht="25.5">
      <c r="A32" s="90"/>
      <c r="B32" s="95"/>
      <c r="C32" s="96"/>
      <c r="D32" s="96">
        <v>5.2</v>
      </c>
      <c r="E32" s="96" t="s">
        <v>642</v>
      </c>
      <c r="F32" s="90"/>
      <c r="G32" s="93">
        <v>0</v>
      </c>
      <c r="H32" s="93">
        <v>30000</v>
      </c>
      <c r="I32" s="93">
        <v>20000</v>
      </c>
      <c r="J32" s="93">
        <v>6000</v>
      </c>
      <c r="K32" s="93">
        <v>0</v>
      </c>
      <c r="L32" s="93">
        <v>0</v>
      </c>
      <c r="M32" s="93">
        <f>SUM(G32:L32)*0.06</f>
        <v>3360</v>
      </c>
      <c r="N32" s="93">
        <f>SUM(G32:M32)</f>
        <v>59360</v>
      </c>
      <c r="O32" s="6"/>
      <c r="P32" s="6"/>
      <c r="Q32" s="6"/>
      <c r="R32" s="1"/>
      <c r="S32" s="1"/>
      <c r="T32" s="1"/>
      <c r="U32" s="1"/>
      <c r="V32" s="1"/>
      <c r="W32" s="1"/>
      <c r="X32" s="1"/>
      <c r="Y32" s="1"/>
    </row>
    <row r="33" spans="1:25" ht="15">
      <c r="A33" s="90"/>
      <c r="B33" s="95"/>
      <c r="C33" s="96"/>
      <c r="D33" s="96"/>
      <c r="E33" s="96"/>
      <c r="F33" s="90"/>
      <c r="G33" s="93"/>
      <c r="H33" s="93"/>
      <c r="I33" s="93"/>
      <c r="J33" s="93"/>
      <c r="K33" s="93"/>
      <c r="L33" s="93"/>
      <c r="M33" s="93"/>
      <c r="N33" s="93"/>
      <c r="O33" s="6"/>
      <c r="P33" s="6"/>
      <c r="Q33" s="6"/>
      <c r="R33" s="1"/>
      <c r="S33" s="1"/>
      <c r="T33" s="1"/>
      <c r="U33" s="1"/>
      <c r="V33" s="1"/>
      <c r="W33" s="1"/>
      <c r="X33" s="1"/>
      <c r="Y33" s="1"/>
    </row>
    <row r="34" spans="1:25" ht="15">
      <c r="A34" s="90"/>
      <c r="B34" s="95">
        <v>6</v>
      </c>
      <c r="C34" s="96" t="s">
        <v>643</v>
      </c>
      <c r="D34" s="96"/>
      <c r="E34" s="96"/>
      <c r="F34" s="90" t="s">
        <v>620</v>
      </c>
      <c r="G34" s="93">
        <f aca="true" t="shared" si="8" ref="G34:M34">+G35+G36+G37+G38</f>
        <v>0</v>
      </c>
      <c r="H34" s="93">
        <f t="shared" si="8"/>
        <v>15000</v>
      </c>
      <c r="I34" s="93">
        <f t="shared" si="8"/>
        <v>10000</v>
      </c>
      <c r="J34" s="93">
        <f t="shared" si="8"/>
        <v>5000</v>
      </c>
      <c r="K34" s="93">
        <f t="shared" si="8"/>
        <v>0</v>
      </c>
      <c r="L34" s="93">
        <f t="shared" si="8"/>
        <v>0</v>
      </c>
      <c r="M34" s="93">
        <f t="shared" si="8"/>
        <v>1800</v>
      </c>
      <c r="N34" s="93">
        <f>SUM(G34:M34)</f>
        <v>31800</v>
      </c>
      <c r="O34" s="6"/>
      <c r="P34" s="6"/>
      <c r="Q34" s="6"/>
      <c r="R34" s="1"/>
      <c r="S34" s="1"/>
      <c r="T34" s="1"/>
      <c r="U34" s="1"/>
      <c r="V34" s="1"/>
      <c r="W34" s="1"/>
      <c r="X34" s="1"/>
      <c r="Y34" s="1"/>
    </row>
    <row r="35" spans="1:25" ht="15">
      <c r="A35" s="90"/>
      <c r="B35" s="95"/>
      <c r="C35" s="96"/>
      <c r="D35" s="96">
        <v>6.1</v>
      </c>
      <c r="E35" s="96" t="s">
        <v>644</v>
      </c>
      <c r="F35" s="90"/>
      <c r="G35" s="93">
        <v>0</v>
      </c>
      <c r="H35" s="93">
        <v>0</v>
      </c>
      <c r="I35" s="93">
        <v>0</v>
      </c>
      <c r="J35" s="93">
        <v>1000</v>
      </c>
      <c r="K35" s="93">
        <v>0</v>
      </c>
      <c r="L35" s="93">
        <v>0</v>
      </c>
      <c r="M35" s="93">
        <f>SUM(G35:L35)*0.06</f>
        <v>60</v>
      </c>
      <c r="N35" s="93">
        <f>SUM(G35:M35)</f>
        <v>1060</v>
      </c>
      <c r="O35" s="6"/>
      <c r="P35" s="6"/>
      <c r="Q35" s="6"/>
      <c r="R35" s="1"/>
      <c r="S35" s="1"/>
      <c r="T35" s="1"/>
      <c r="U35" s="1"/>
      <c r="V35" s="1"/>
      <c r="W35" s="1"/>
      <c r="X35" s="1"/>
      <c r="Y35" s="1"/>
    </row>
    <row r="36" spans="1:25" ht="25.5">
      <c r="A36" s="90"/>
      <c r="B36" s="95"/>
      <c r="C36" s="96"/>
      <c r="D36" s="96">
        <v>6.2</v>
      </c>
      <c r="E36" s="96" t="s">
        <v>645</v>
      </c>
      <c r="F36" s="90"/>
      <c r="G36" s="93">
        <v>0</v>
      </c>
      <c r="H36" s="93">
        <v>15000</v>
      </c>
      <c r="I36" s="93">
        <v>0</v>
      </c>
      <c r="J36" s="93">
        <v>0</v>
      </c>
      <c r="K36" s="93">
        <v>0</v>
      </c>
      <c r="L36" s="93">
        <v>0</v>
      </c>
      <c r="M36" s="93">
        <f>SUM(G36:L36)*0.06</f>
        <v>900</v>
      </c>
      <c r="N36" s="93">
        <f>SUM(G36:M36)</f>
        <v>15900</v>
      </c>
      <c r="O36" s="6"/>
      <c r="P36" s="6"/>
      <c r="Q36" s="6"/>
      <c r="R36" s="1"/>
      <c r="S36" s="1"/>
      <c r="T36" s="1"/>
      <c r="U36" s="1"/>
      <c r="V36" s="1"/>
      <c r="W36" s="1"/>
      <c r="X36" s="1"/>
      <c r="Y36" s="1"/>
    </row>
    <row r="37" spans="1:25" ht="15">
      <c r="A37" s="90"/>
      <c r="B37" s="95"/>
      <c r="C37" s="96"/>
      <c r="D37" s="96">
        <v>6.3</v>
      </c>
      <c r="E37" s="96" t="s">
        <v>646</v>
      </c>
      <c r="F37" s="90"/>
      <c r="G37" s="93">
        <v>0</v>
      </c>
      <c r="H37" s="93">
        <v>0</v>
      </c>
      <c r="I37" s="93">
        <v>0</v>
      </c>
      <c r="J37" s="93">
        <v>1000</v>
      </c>
      <c r="K37" s="93">
        <v>0</v>
      </c>
      <c r="L37" s="93">
        <v>0</v>
      </c>
      <c r="M37" s="93">
        <f>SUM(G37:L37)*0.06</f>
        <v>60</v>
      </c>
      <c r="N37" s="93">
        <f>SUM(G37:M37)</f>
        <v>1060</v>
      </c>
      <c r="O37" s="6"/>
      <c r="P37" s="6"/>
      <c r="Q37" s="6"/>
      <c r="R37" s="1"/>
      <c r="S37" s="1"/>
      <c r="T37" s="1"/>
      <c r="U37" s="1"/>
      <c r="V37" s="1"/>
      <c r="W37" s="1"/>
      <c r="X37" s="1"/>
      <c r="Y37" s="1"/>
    </row>
    <row r="38" spans="1:25" ht="25.5">
      <c r="A38" s="90"/>
      <c r="B38" s="95"/>
      <c r="C38" s="96"/>
      <c r="D38" s="96">
        <v>6.4</v>
      </c>
      <c r="E38" s="96" t="s">
        <v>647</v>
      </c>
      <c r="F38" s="90"/>
      <c r="G38" s="93">
        <v>0</v>
      </c>
      <c r="H38" s="93">
        <v>0</v>
      </c>
      <c r="I38" s="93">
        <v>10000</v>
      </c>
      <c r="J38" s="93">
        <v>3000</v>
      </c>
      <c r="K38" s="93">
        <v>0</v>
      </c>
      <c r="L38" s="93">
        <v>0</v>
      </c>
      <c r="M38" s="93">
        <f>SUM(G38:L38)*0.06</f>
        <v>780</v>
      </c>
      <c r="N38" s="93">
        <f>SUM(G38:M38)</f>
        <v>13780</v>
      </c>
      <c r="O38" s="6"/>
      <c r="P38" s="6"/>
      <c r="Q38" s="6"/>
      <c r="R38" s="1"/>
      <c r="S38" s="1"/>
      <c r="T38" s="1"/>
      <c r="U38" s="1"/>
      <c r="V38" s="1"/>
      <c r="W38" s="1"/>
      <c r="X38" s="1"/>
      <c r="Y38" s="1"/>
    </row>
    <row r="39" spans="1:25" ht="15">
      <c r="A39" s="90"/>
      <c r="B39" s="95"/>
      <c r="C39" s="96"/>
      <c r="D39" s="96"/>
      <c r="E39" s="96"/>
      <c r="F39" s="90"/>
      <c r="G39" s="93"/>
      <c r="H39" s="93"/>
      <c r="I39" s="93"/>
      <c r="J39" s="93"/>
      <c r="K39" s="93"/>
      <c r="L39" s="93"/>
      <c r="M39" s="93"/>
      <c r="N39" s="93"/>
      <c r="O39" s="6"/>
      <c r="P39" s="6"/>
      <c r="Q39" s="6"/>
      <c r="R39" s="1"/>
      <c r="S39" s="1"/>
      <c r="T39" s="1"/>
      <c r="U39" s="1"/>
      <c r="V39" s="1"/>
      <c r="W39" s="1"/>
      <c r="X39" s="1"/>
      <c r="Y39" s="1"/>
    </row>
    <row r="40" spans="1:25" ht="15">
      <c r="A40" s="90"/>
      <c r="B40" s="95">
        <v>7</v>
      </c>
      <c r="C40" s="96" t="s">
        <v>648</v>
      </c>
      <c r="D40" s="96"/>
      <c r="E40" s="96"/>
      <c r="F40" s="90" t="s">
        <v>620</v>
      </c>
      <c r="G40" s="93">
        <f aca="true" t="shared" si="9" ref="G40:M40">+G41</f>
        <v>0</v>
      </c>
      <c r="H40" s="93">
        <f t="shared" si="9"/>
        <v>0</v>
      </c>
      <c r="I40" s="93">
        <f t="shared" si="9"/>
        <v>0</v>
      </c>
      <c r="J40" s="93">
        <f t="shared" si="9"/>
        <v>0</v>
      </c>
      <c r="K40" s="93">
        <f t="shared" si="9"/>
        <v>0</v>
      </c>
      <c r="L40" s="93">
        <f t="shared" si="9"/>
        <v>0</v>
      </c>
      <c r="M40" s="93">
        <f t="shared" si="9"/>
        <v>0</v>
      </c>
      <c r="N40" s="93">
        <f>SUM(G40:M40)</f>
        <v>0</v>
      </c>
      <c r="O40" s="6"/>
      <c r="P40" s="6"/>
      <c r="Q40" s="6"/>
      <c r="R40" s="1"/>
      <c r="S40" s="1"/>
      <c r="T40" s="1"/>
      <c r="U40" s="1"/>
      <c r="V40" s="1"/>
      <c r="W40" s="1"/>
      <c r="X40" s="1"/>
      <c r="Y40" s="1"/>
    </row>
    <row r="41" spans="1:25" ht="38.25">
      <c r="A41" s="90"/>
      <c r="B41" s="95"/>
      <c r="C41" s="96"/>
      <c r="D41" s="96">
        <v>7.1</v>
      </c>
      <c r="E41" s="96" t="s">
        <v>649</v>
      </c>
      <c r="F41" s="90"/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f>SUM(G41:L41)*0.06</f>
        <v>0</v>
      </c>
      <c r="N41" s="93">
        <f>SUM(G41:M41)</f>
        <v>0</v>
      </c>
      <c r="O41" s="6"/>
      <c r="P41" s="6"/>
      <c r="Q41" s="6"/>
      <c r="R41" s="1"/>
      <c r="S41" s="1"/>
      <c r="T41" s="1"/>
      <c r="U41" s="1"/>
      <c r="V41" s="1"/>
      <c r="W41" s="1"/>
      <c r="X41" s="1"/>
      <c r="Y41" s="1"/>
    </row>
    <row r="42" spans="1:25" ht="15">
      <c r="A42" s="90"/>
      <c r="B42" s="95"/>
      <c r="C42" s="96"/>
      <c r="D42" s="96"/>
      <c r="E42" s="96"/>
      <c r="F42" s="90"/>
      <c r="G42" s="93"/>
      <c r="H42" s="93"/>
      <c r="I42" s="93"/>
      <c r="J42" s="93"/>
      <c r="K42" s="93"/>
      <c r="L42" s="93"/>
      <c r="M42" s="93"/>
      <c r="N42" s="93"/>
      <c r="O42" s="6"/>
      <c r="P42" s="6"/>
      <c r="Q42" s="6"/>
      <c r="R42" s="1"/>
      <c r="S42" s="1"/>
      <c r="T42" s="1"/>
      <c r="U42" s="1"/>
      <c r="V42" s="1"/>
      <c r="W42" s="1"/>
      <c r="X42" s="1"/>
      <c r="Y42" s="1"/>
    </row>
    <row r="43" spans="1:25" ht="25.5">
      <c r="A43" s="90"/>
      <c r="B43" s="95">
        <v>8</v>
      </c>
      <c r="C43" s="96" t="s">
        <v>650</v>
      </c>
      <c r="D43" s="96"/>
      <c r="E43" s="96"/>
      <c r="F43" s="90" t="s">
        <v>620</v>
      </c>
      <c r="G43" s="93">
        <f aca="true" t="shared" si="10" ref="G43:M43">+G44+G45</f>
        <v>0</v>
      </c>
      <c r="H43" s="93">
        <f t="shared" si="10"/>
        <v>0</v>
      </c>
      <c r="I43" s="93">
        <f t="shared" si="10"/>
        <v>0</v>
      </c>
      <c r="J43" s="93">
        <f t="shared" si="10"/>
        <v>5000</v>
      </c>
      <c r="K43" s="93">
        <f t="shared" si="10"/>
        <v>0</v>
      </c>
      <c r="L43" s="93">
        <f t="shared" si="10"/>
        <v>30000</v>
      </c>
      <c r="M43" s="93">
        <f t="shared" si="10"/>
        <v>2100</v>
      </c>
      <c r="N43" s="93">
        <f>SUM(G43:M43)</f>
        <v>37100</v>
      </c>
      <c r="O43" s="6"/>
      <c r="P43" s="6"/>
      <c r="Q43" s="6"/>
      <c r="R43" s="1"/>
      <c r="S43" s="1"/>
      <c r="T43" s="1"/>
      <c r="U43" s="1"/>
      <c r="V43" s="1"/>
      <c r="W43" s="1"/>
      <c r="X43" s="1"/>
      <c r="Y43" s="1"/>
    </row>
    <row r="44" spans="1:25" ht="25.5">
      <c r="A44" s="90"/>
      <c r="B44" s="95"/>
      <c r="C44" s="96"/>
      <c r="D44" s="96">
        <v>8.1</v>
      </c>
      <c r="E44" s="96" t="s">
        <v>651</v>
      </c>
      <c r="F44" s="90"/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f>SUM(G44:L44)*0.06</f>
        <v>0</v>
      </c>
      <c r="N44" s="93">
        <f>SUM(G44:M44)</f>
        <v>0</v>
      </c>
      <c r="O44" s="6"/>
      <c r="P44" s="6"/>
      <c r="Q44" s="6"/>
      <c r="R44" s="1"/>
      <c r="S44" s="1"/>
      <c r="T44" s="1"/>
      <c r="U44" s="1"/>
      <c r="V44" s="1"/>
      <c r="W44" s="1"/>
      <c r="X44" s="1"/>
      <c r="Y44" s="1"/>
    </row>
    <row r="45" spans="1:25" ht="25.5">
      <c r="A45" s="90"/>
      <c r="B45" s="95"/>
      <c r="C45" s="96"/>
      <c r="D45" s="96">
        <v>8.2</v>
      </c>
      <c r="E45" s="96" t="s">
        <v>652</v>
      </c>
      <c r="F45" s="90"/>
      <c r="G45" s="93">
        <v>0</v>
      </c>
      <c r="H45" s="93">
        <v>0</v>
      </c>
      <c r="I45" s="93">
        <v>0</v>
      </c>
      <c r="J45" s="93">
        <v>5000</v>
      </c>
      <c r="K45" s="93">
        <v>0</v>
      </c>
      <c r="L45" s="93">
        <f>20000+10000</f>
        <v>30000</v>
      </c>
      <c r="M45" s="93">
        <f>SUM(G45:L45)*0.06</f>
        <v>2100</v>
      </c>
      <c r="N45" s="93">
        <f>SUM(G45:M45)</f>
        <v>37100</v>
      </c>
      <c r="O45" s="6"/>
      <c r="P45" s="6"/>
      <c r="Q45" s="6"/>
      <c r="R45" s="87"/>
      <c r="S45" s="87"/>
      <c r="T45" s="4"/>
      <c r="U45" s="1"/>
      <c r="V45" s="1"/>
      <c r="W45" s="1"/>
      <c r="X45" s="1"/>
      <c r="Y45" s="1"/>
    </row>
    <row r="46" spans="1:25" ht="15">
      <c r="A46" s="90"/>
      <c r="B46" s="95"/>
      <c r="C46" s="96"/>
      <c r="D46" s="96"/>
      <c r="E46" s="96"/>
      <c r="F46" s="90"/>
      <c r="G46" s="93"/>
      <c r="H46" s="93"/>
      <c r="I46" s="93"/>
      <c r="J46" s="93"/>
      <c r="K46" s="93"/>
      <c r="L46" s="93"/>
      <c r="M46" s="93"/>
      <c r="N46" s="93"/>
      <c r="O46" s="6"/>
      <c r="P46" s="6"/>
      <c r="Q46" s="6"/>
      <c r="R46" s="1"/>
      <c r="S46" s="1"/>
      <c r="T46" s="1"/>
      <c r="U46" s="1"/>
      <c r="V46" s="1"/>
      <c r="W46" s="1"/>
      <c r="X46" s="1"/>
      <c r="Y46" s="1"/>
    </row>
    <row r="47" spans="1:25" ht="42.75" customHeight="1">
      <c r="A47" s="90"/>
      <c r="B47" s="95">
        <v>9</v>
      </c>
      <c r="C47" s="96" t="s">
        <v>49</v>
      </c>
      <c r="D47" s="96"/>
      <c r="E47" s="96"/>
      <c r="F47" s="90" t="s">
        <v>620</v>
      </c>
      <c r="G47" s="93">
        <f aca="true" t="shared" si="11" ref="G47:M47">+G48</f>
        <v>0</v>
      </c>
      <c r="H47" s="93">
        <f t="shared" si="11"/>
        <v>0</v>
      </c>
      <c r="I47" s="93">
        <f t="shared" si="11"/>
        <v>0</v>
      </c>
      <c r="J47" s="93">
        <f t="shared" si="11"/>
        <v>0</v>
      </c>
      <c r="K47" s="93">
        <f t="shared" si="11"/>
        <v>0</v>
      </c>
      <c r="L47" s="93">
        <f t="shared" si="11"/>
        <v>0</v>
      </c>
      <c r="M47" s="93">
        <f t="shared" si="11"/>
        <v>0</v>
      </c>
      <c r="N47" s="93">
        <f>SUM(G47:M47)</f>
        <v>0</v>
      </c>
      <c r="O47" s="6"/>
      <c r="P47" s="6"/>
      <c r="Q47" s="6"/>
      <c r="R47" s="1"/>
      <c r="S47" s="1"/>
      <c r="T47" s="1"/>
      <c r="U47" s="1"/>
      <c r="V47" s="1"/>
      <c r="W47" s="1"/>
      <c r="X47" s="1"/>
      <c r="Y47" s="1"/>
    </row>
    <row r="48" spans="1:25" ht="25.5">
      <c r="A48" s="90"/>
      <c r="B48" s="95"/>
      <c r="C48" s="96"/>
      <c r="D48" s="96">
        <v>9.1</v>
      </c>
      <c r="E48" s="96" t="s">
        <v>50</v>
      </c>
      <c r="F48" s="90"/>
      <c r="G48" s="93">
        <v>0</v>
      </c>
      <c r="H48" s="93">
        <f>5000-5000</f>
        <v>0</v>
      </c>
      <c r="I48" s="93">
        <f>10000-10000</f>
        <v>0</v>
      </c>
      <c r="J48" s="93">
        <f>1000-1000</f>
        <v>0</v>
      </c>
      <c r="K48" s="93">
        <v>0</v>
      </c>
      <c r="L48" s="93">
        <v>0</v>
      </c>
      <c r="M48" s="93">
        <f>SUM(G48:L48)*0.06</f>
        <v>0</v>
      </c>
      <c r="N48" s="93">
        <f>SUM(G48:M48)</f>
        <v>0</v>
      </c>
      <c r="O48" s="6"/>
      <c r="P48" s="6"/>
      <c r="Q48" s="6"/>
      <c r="R48" s="87"/>
      <c r="S48" s="87"/>
      <c r="T48" s="4"/>
      <c r="U48" s="1"/>
      <c r="V48" s="1"/>
      <c r="W48" s="1"/>
      <c r="X48" s="1"/>
      <c r="Y48" s="1"/>
    </row>
    <row r="49" spans="1:25" ht="15">
      <c r="A49" s="90"/>
      <c r="B49" s="95"/>
      <c r="C49" s="96"/>
      <c r="D49" s="96"/>
      <c r="E49" s="96"/>
      <c r="F49" s="90"/>
      <c r="G49" s="93"/>
      <c r="H49" s="93"/>
      <c r="I49" s="93"/>
      <c r="J49" s="93"/>
      <c r="K49" s="93"/>
      <c r="L49" s="93"/>
      <c r="M49" s="93"/>
      <c r="N49" s="93"/>
      <c r="O49" s="6"/>
      <c r="P49" s="6"/>
      <c r="Q49" s="6"/>
      <c r="R49" s="1"/>
      <c r="S49" s="1"/>
      <c r="T49" s="1"/>
      <c r="U49" s="1"/>
      <c r="V49" s="1"/>
      <c r="W49" s="1"/>
      <c r="X49" s="1"/>
      <c r="Y49" s="1"/>
    </row>
    <row r="50" spans="1:25" ht="25.5">
      <c r="A50" s="90"/>
      <c r="B50" s="95">
        <v>10</v>
      </c>
      <c r="C50" s="96" t="s">
        <v>51</v>
      </c>
      <c r="D50" s="96"/>
      <c r="E50" s="96"/>
      <c r="F50" s="90" t="s">
        <v>620</v>
      </c>
      <c r="G50" s="93">
        <f aca="true" t="shared" si="12" ref="G50:M50">+G51</f>
        <v>0</v>
      </c>
      <c r="H50" s="93">
        <f t="shared" si="12"/>
        <v>0</v>
      </c>
      <c r="I50" s="93">
        <f t="shared" si="12"/>
        <v>6000</v>
      </c>
      <c r="J50" s="93">
        <f t="shared" si="12"/>
        <v>3000</v>
      </c>
      <c r="K50" s="93">
        <f t="shared" si="12"/>
        <v>0</v>
      </c>
      <c r="L50" s="93">
        <f t="shared" si="12"/>
        <v>28000</v>
      </c>
      <c r="M50" s="93">
        <f t="shared" si="12"/>
        <v>2220</v>
      </c>
      <c r="N50" s="93">
        <f>SUM(G50:M50)</f>
        <v>39220</v>
      </c>
      <c r="O50" s="6"/>
      <c r="P50" s="6"/>
      <c r="Q50" s="6"/>
      <c r="R50" s="1"/>
      <c r="S50" s="1"/>
      <c r="T50" s="1"/>
      <c r="U50" s="1"/>
      <c r="V50" s="1"/>
      <c r="W50" s="1"/>
      <c r="X50" s="1"/>
      <c r="Y50" s="1"/>
    </row>
    <row r="51" spans="1:25" ht="25.5">
      <c r="A51" s="90"/>
      <c r="B51" s="95"/>
      <c r="C51" s="96"/>
      <c r="D51" s="96">
        <v>10.1</v>
      </c>
      <c r="E51" s="96" t="s">
        <v>52</v>
      </c>
      <c r="F51" s="90"/>
      <c r="G51" s="93">
        <v>0</v>
      </c>
      <c r="H51" s="93">
        <v>0</v>
      </c>
      <c r="I51" s="93">
        <v>6000</v>
      </c>
      <c r="J51" s="93">
        <v>3000</v>
      </c>
      <c r="K51" s="93">
        <v>0</v>
      </c>
      <c r="L51" s="93">
        <v>28000</v>
      </c>
      <c r="M51" s="93">
        <f>SUM(G51:L51)*0.06</f>
        <v>2220</v>
      </c>
      <c r="N51" s="93">
        <f>SUM(G51:M51)</f>
        <v>39220</v>
      </c>
      <c r="O51" s="6"/>
      <c r="P51" s="6"/>
      <c r="Q51" s="6"/>
      <c r="R51" s="1"/>
      <c r="S51" s="1"/>
      <c r="T51" s="1"/>
      <c r="U51" s="1"/>
      <c r="V51" s="1"/>
      <c r="W51" s="1"/>
      <c r="X51" s="1"/>
      <c r="Y51" s="1"/>
    </row>
    <row r="52" spans="1:25" ht="15">
      <c r="A52" s="90"/>
      <c r="B52" s="95"/>
      <c r="C52" s="96"/>
      <c r="D52" s="96"/>
      <c r="E52" s="96"/>
      <c r="F52" s="90"/>
      <c r="G52" s="93"/>
      <c r="H52" s="93"/>
      <c r="I52" s="93"/>
      <c r="J52" s="93"/>
      <c r="K52" s="93"/>
      <c r="L52" s="93"/>
      <c r="M52" s="93"/>
      <c r="N52" s="93"/>
      <c r="O52" s="6"/>
      <c r="P52" s="6"/>
      <c r="Q52" s="6"/>
      <c r="R52" s="1"/>
      <c r="S52" s="1"/>
      <c r="T52" s="1"/>
      <c r="U52" s="1"/>
      <c r="V52" s="1"/>
      <c r="W52" s="1"/>
      <c r="X52" s="1"/>
      <c r="Y52" s="1"/>
    </row>
    <row r="53" spans="1:25" ht="25.5">
      <c r="A53" s="90"/>
      <c r="B53" s="95">
        <v>11</v>
      </c>
      <c r="C53" s="96" t="s">
        <v>17</v>
      </c>
      <c r="D53" s="96"/>
      <c r="E53" s="96"/>
      <c r="F53" s="90" t="s">
        <v>620</v>
      </c>
      <c r="G53" s="93">
        <f aca="true" t="shared" si="13" ref="G53:M53">+G54</f>
        <v>0</v>
      </c>
      <c r="H53" s="93">
        <f t="shared" si="13"/>
        <v>0</v>
      </c>
      <c r="I53" s="93">
        <f t="shared" si="13"/>
        <v>2500</v>
      </c>
      <c r="J53" s="93">
        <f t="shared" si="13"/>
        <v>3000</v>
      </c>
      <c r="K53" s="93">
        <f t="shared" si="13"/>
        <v>0</v>
      </c>
      <c r="L53" s="93">
        <f t="shared" si="13"/>
        <v>0</v>
      </c>
      <c r="M53" s="93">
        <f t="shared" si="13"/>
        <v>330</v>
      </c>
      <c r="N53" s="93">
        <f>SUM(G53:M53)</f>
        <v>5830</v>
      </c>
      <c r="O53" s="6"/>
      <c r="P53" s="6"/>
      <c r="Q53" s="6"/>
      <c r="R53" s="1"/>
      <c r="S53" s="1"/>
      <c r="T53" s="1"/>
      <c r="U53" s="1"/>
      <c r="V53" s="1"/>
      <c r="W53" s="1"/>
      <c r="X53" s="1"/>
      <c r="Y53" s="1"/>
    </row>
    <row r="54" spans="1:25" ht="25.5">
      <c r="A54" s="90"/>
      <c r="B54" s="95"/>
      <c r="C54" s="96"/>
      <c r="D54" s="96">
        <v>11.1</v>
      </c>
      <c r="E54" s="96" t="s">
        <v>53</v>
      </c>
      <c r="F54" s="90"/>
      <c r="G54" s="93">
        <v>0</v>
      </c>
      <c r="H54" s="93">
        <v>0</v>
      </c>
      <c r="I54" s="93">
        <v>2500</v>
      </c>
      <c r="J54" s="93">
        <f>6000-3000</f>
        <v>3000</v>
      </c>
      <c r="K54" s="93">
        <v>0</v>
      </c>
      <c r="L54" s="93">
        <v>0</v>
      </c>
      <c r="M54" s="93">
        <f>SUM(G54:L54)*0.06</f>
        <v>330</v>
      </c>
      <c r="N54" s="93">
        <f>SUM(G54:M54)</f>
        <v>5830</v>
      </c>
      <c r="O54" s="6"/>
      <c r="P54" s="6"/>
      <c r="Q54" s="6"/>
      <c r="R54" s="87"/>
      <c r="S54" s="1"/>
      <c r="T54" s="4"/>
      <c r="U54" s="1"/>
      <c r="V54" s="1"/>
      <c r="W54" s="1"/>
      <c r="X54" s="1"/>
      <c r="Y54" s="1"/>
    </row>
    <row r="55" spans="1:25" ht="15">
      <c r="A55" s="90"/>
      <c r="B55" s="95"/>
      <c r="C55" s="96"/>
      <c r="D55" s="96"/>
      <c r="E55" s="96"/>
      <c r="F55" s="90"/>
      <c r="G55" s="93"/>
      <c r="H55" s="93"/>
      <c r="I55" s="93"/>
      <c r="J55" s="93"/>
      <c r="K55" s="93"/>
      <c r="L55" s="93"/>
      <c r="M55" s="93"/>
      <c r="N55" s="93"/>
      <c r="O55" s="6"/>
      <c r="P55" s="6"/>
      <c r="Q55" s="6"/>
      <c r="R55" s="1"/>
      <c r="S55" s="1"/>
      <c r="T55" s="1"/>
      <c r="U55" s="1"/>
      <c r="V55" s="1"/>
      <c r="W55" s="1"/>
      <c r="X55" s="1"/>
      <c r="Y55" s="1"/>
    </row>
    <row r="56" spans="1:25" ht="15">
      <c r="A56" s="90"/>
      <c r="B56" s="95">
        <v>12</v>
      </c>
      <c r="C56" s="96" t="s">
        <v>54</v>
      </c>
      <c r="D56" s="96"/>
      <c r="E56" s="96"/>
      <c r="F56" s="90" t="s">
        <v>620</v>
      </c>
      <c r="G56" s="93">
        <f aca="true" t="shared" si="14" ref="G56:M56">+G57</f>
        <v>0</v>
      </c>
      <c r="H56" s="93">
        <f t="shared" si="14"/>
        <v>0</v>
      </c>
      <c r="I56" s="93">
        <f t="shared" si="14"/>
        <v>0</v>
      </c>
      <c r="J56" s="93">
        <f t="shared" si="14"/>
        <v>3000</v>
      </c>
      <c r="K56" s="93">
        <f t="shared" si="14"/>
        <v>0</v>
      </c>
      <c r="L56" s="93">
        <f t="shared" si="14"/>
        <v>28000</v>
      </c>
      <c r="M56" s="93">
        <f t="shared" si="14"/>
        <v>1860</v>
      </c>
      <c r="N56" s="93">
        <f>SUM(G56:M56)</f>
        <v>32860</v>
      </c>
      <c r="O56" s="6"/>
      <c r="P56" s="6"/>
      <c r="Q56" s="6"/>
      <c r="R56" s="1"/>
      <c r="S56" s="1"/>
      <c r="T56" s="1"/>
      <c r="U56" s="1"/>
      <c r="V56" s="1"/>
      <c r="W56" s="1"/>
      <c r="X56" s="1"/>
      <c r="Y56" s="1"/>
    </row>
    <row r="57" spans="1:25" ht="25.5">
      <c r="A57" s="90"/>
      <c r="B57" s="95"/>
      <c r="C57" s="96"/>
      <c r="D57" s="96">
        <v>12.1</v>
      </c>
      <c r="E57" s="96" t="s">
        <v>55</v>
      </c>
      <c r="F57" s="90"/>
      <c r="G57" s="93">
        <v>0</v>
      </c>
      <c r="H57" s="93">
        <v>0</v>
      </c>
      <c r="I57" s="93">
        <v>0</v>
      </c>
      <c r="J57" s="93">
        <v>3000</v>
      </c>
      <c r="K57" s="93">
        <v>0</v>
      </c>
      <c r="L57" s="93">
        <v>28000</v>
      </c>
      <c r="M57" s="93">
        <f>SUM(G57:L57)*0.06</f>
        <v>1860</v>
      </c>
      <c r="N57" s="93">
        <f>SUM(G57:M57)</f>
        <v>32860</v>
      </c>
      <c r="O57" s="6"/>
      <c r="P57" s="6"/>
      <c r="Q57" s="6"/>
      <c r="R57" s="1"/>
      <c r="S57" s="1"/>
      <c r="T57" s="1"/>
      <c r="U57" s="1"/>
      <c r="V57" s="1"/>
      <c r="W57" s="1"/>
      <c r="X57" s="1"/>
      <c r="Y57" s="1"/>
    </row>
    <row r="58" spans="1:25" ht="15">
      <c r="A58" s="90"/>
      <c r="B58" s="95"/>
      <c r="C58" s="96"/>
      <c r="D58" s="96"/>
      <c r="E58" s="96"/>
      <c r="F58" s="90"/>
      <c r="G58" s="93"/>
      <c r="H58" s="93"/>
      <c r="I58" s="93"/>
      <c r="J58" s="93"/>
      <c r="K58" s="93"/>
      <c r="L58" s="93"/>
      <c r="M58" s="93"/>
      <c r="N58" s="93"/>
      <c r="O58" s="6"/>
      <c r="P58" s="6"/>
      <c r="Q58" s="6"/>
      <c r="R58" s="1"/>
      <c r="S58" s="1"/>
      <c r="T58" s="1"/>
      <c r="U58" s="1"/>
      <c r="V58" s="1"/>
      <c r="W58" s="1"/>
      <c r="X58" s="1"/>
      <c r="Y58" s="1"/>
    </row>
    <row r="59" spans="1:25" ht="25.5">
      <c r="A59" s="90"/>
      <c r="B59" s="95">
        <v>13</v>
      </c>
      <c r="C59" s="96" t="s">
        <v>56</v>
      </c>
      <c r="D59" s="96"/>
      <c r="E59" s="96"/>
      <c r="F59" s="90" t="s">
        <v>620</v>
      </c>
      <c r="G59" s="93">
        <f aca="true" t="shared" si="15" ref="G59:M59">+G60</f>
        <v>0</v>
      </c>
      <c r="H59" s="93">
        <f t="shared" si="15"/>
        <v>0</v>
      </c>
      <c r="I59" s="93">
        <f t="shared" si="15"/>
        <v>0</v>
      </c>
      <c r="J59" s="93">
        <f t="shared" si="15"/>
        <v>1000</v>
      </c>
      <c r="K59" s="93">
        <f t="shared" si="15"/>
        <v>0</v>
      </c>
      <c r="L59" s="93">
        <f t="shared" si="15"/>
        <v>4000</v>
      </c>
      <c r="M59" s="93">
        <f t="shared" si="15"/>
        <v>300</v>
      </c>
      <c r="N59" s="93">
        <f>SUM(G59:M59)</f>
        <v>5300</v>
      </c>
      <c r="O59" s="6"/>
      <c r="P59" s="6"/>
      <c r="Q59" s="6"/>
      <c r="R59" s="1"/>
      <c r="S59" s="1"/>
      <c r="T59" s="1"/>
      <c r="U59" s="1"/>
      <c r="V59" s="1"/>
      <c r="W59" s="1"/>
      <c r="X59" s="1"/>
      <c r="Y59" s="1"/>
    </row>
    <row r="60" spans="1:25" ht="38.25">
      <c r="A60" s="90"/>
      <c r="B60" s="95"/>
      <c r="C60" s="96"/>
      <c r="D60" s="96">
        <v>13.1</v>
      </c>
      <c r="E60" s="96" t="s">
        <v>57</v>
      </c>
      <c r="F60" s="90"/>
      <c r="G60" s="93">
        <v>0</v>
      </c>
      <c r="H60" s="93">
        <v>0</v>
      </c>
      <c r="I60" s="93">
        <v>0</v>
      </c>
      <c r="J60" s="93">
        <v>1000</v>
      </c>
      <c r="K60" s="93">
        <v>0</v>
      </c>
      <c r="L60" s="93">
        <v>4000</v>
      </c>
      <c r="M60" s="93">
        <f>SUM(G60:L60)*0.06</f>
        <v>300</v>
      </c>
      <c r="N60" s="93">
        <f>SUM(G60:M60)</f>
        <v>5300</v>
      </c>
      <c r="O60" s="6"/>
      <c r="P60" s="6"/>
      <c r="Q60" s="6"/>
      <c r="R60" s="1"/>
      <c r="S60" s="1"/>
      <c r="T60" s="1"/>
      <c r="U60" s="1"/>
      <c r="V60" s="1"/>
      <c r="W60" s="1"/>
      <c r="X60" s="1"/>
      <c r="Y60" s="1"/>
    </row>
    <row r="61" spans="1:25" ht="15">
      <c r="A61" s="90"/>
      <c r="B61" s="95"/>
      <c r="C61" s="96"/>
      <c r="D61" s="96"/>
      <c r="E61" s="95"/>
      <c r="F61" s="90"/>
      <c r="G61" s="93"/>
      <c r="H61" s="93"/>
      <c r="I61" s="93"/>
      <c r="J61" s="93"/>
      <c r="K61" s="93"/>
      <c r="L61" s="93"/>
      <c r="M61" s="93"/>
      <c r="N61" s="93"/>
      <c r="O61" s="6"/>
      <c r="P61" s="6"/>
      <c r="Q61" s="6"/>
      <c r="R61" s="1"/>
      <c r="S61" s="1"/>
      <c r="T61" s="1"/>
      <c r="U61" s="1"/>
      <c r="V61" s="1"/>
      <c r="W61" s="1"/>
      <c r="X61" s="1"/>
      <c r="Y61" s="1"/>
    </row>
    <row r="62" spans="1:25" ht="15">
      <c r="A62" s="90"/>
      <c r="B62" s="95">
        <v>14</v>
      </c>
      <c r="C62" s="96" t="s">
        <v>58</v>
      </c>
      <c r="D62" s="96"/>
      <c r="E62" s="95"/>
      <c r="F62" s="90" t="s">
        <v>620</v>
      </c>
      <c r="G62" s="93">
        <f aca="true" t="shared" si="16" ref="G62:M62">+G63</f>
        <v>267000</v>
      </c>
      <c r="H62" s="93">
        <f t="shared" si="16"/>
        <v>0</v>
      </c>
      <c r="I62" s="93">
        <f t="shared" si="16"/>
        <v>0</v>
      </c>
      <c r="J62" s="93">
        <f t="shared" si="16"/>
        <v>0</v>
      </c>
      <c r="K62" s="93">
        <f t="shared" si="16"/>
        <v>0</v>
      </c>
      <c r="L62" s="93">
        <f t="shared" si="16"/>
        <v>0</v>
      </c>
      <c r="M62" s="93">
        <f t="shared" si="16"/>
        <v>16020</v>
      </c>
      <c r="N62" s="93">
        <f>SUM(G62:M62)</f>
        <v>283020</v>
      </c>
      <c r="O62" s="6"/>
      <c r="P62" s="6"/>
      <c r="Q62" s="6"/>
      <c r="R62" s="1"/>
      <c r="S62" s="1"/>
      <c r="T62" s="1"/>
      <c r="U62" s="1"/>
      <c r="V62" s="1"/>
      <c r="W62" s="1"/>
      <c r="X62" s="1"/>
      <c r="Y62" s="1"/>
    </row>
    <row r="63" spans="1:25" ht="15">
      <c r="A63" s="90"/>
      <c r="B63" s="95"/>
      <c r="C63" s="96"/>
      <c r="D63" s="96">
        <v>14.1</v>
      </c>
      <c r="E63" s="95" t="s">
        <v>59</v>
      </c>
      <c r="F63" s="90"/>
      <c r="G63" s="93">
        <v>267000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f>SUM(G63:L63)*0.06</f>
        <v>16020</v>
      </c>
      <c r="N63" s="93">
        <f>SUM(G63:M63)</f>
        <v>283020</v>
      </c>
      <c r="O63" s="6"/>
      <c r="P63" s="6"/>
      <c r="Q63" s="6"/>
      <c r="R63" s="1"/>
      <c r="S63" s="1"/>
      <c r="T63" s="1"/>
      <c r="U63" s="1"/>
      <c r="V63" s="1"/>
      <c r="W63" s="1"/>
      <c r="X63" s="1"/>
      <c r="Y63" s="1"/>
    </row>
    <row r="64" spans="3:25" ht="15">
      <c r="C64" s="98"/>
      <c r="D64" s="98"/>
      <c r="E64" s="98"/>
      <c r="F64" s="88"/>
      <c r="G64" s="88"/>
      <c r="H64" s="88"/>
      <c r="I64" s="88"/>
      <c r="J64" s="88"/>
      <c r="K64" s="88"/>
      <c r="L64" s="88"/>
      <c r="M64" s="88"/>
      <c r="N64" s="88"/>
      <c r="O64" s="61"/>
      <c r="P64" s="64"/>
      <c r="Q64" s="64"/>
      <c r="R64" s="1"/>
      <c r="S64" s="1"/>
      <c r="T64" s="1"/>
      <c r="U64" s="1"/>
      <c r="V64" s="1"/>
      <c r="W64" s="1"/>
      <c r="X64" s="1"/>
      <c r="Y64" s="1"/>
    </row>
    <row r="65" spans="13:25" ht="15">
      <c r="M65" s="61"/>
      <c r="N65" s="61"/>
      <c r="O65" s="61"/>
      <c r="P65" s="64"/>
      <c r="Q65" s="64"/>
      <c r="R65" s="1"/>
      <c r="S65" s="1"/>
      <c r="T65" s="1"/>
      <c r="U65" s="1"/>
      <c r="V65" s="1"/>
      <c r="W65" s="1"/>
      <c r="X65" s="1"/>
      <c r="Y65" s="1"/>
    </row>
    <row r="66" spans="13:25" ht="15">
      <c r="M66" s="61"/>
      <c r="N66" s="61"/>
      <c r="O66" s="61"/>
      <c r="P66" s="64"/>
      <c r="Q66" s="64"/>
      <c r="R66" s="1"/>
      <c r="S66" s="1"/>
      <c r="T66" s="1"/>
      <c r="U66" s="1"/>
      <c r="V66" s="1"/>
      <c r="W66" s="1"/>
      <c r="X66" s="1"/>
      <c r="Y66" s="1"/>
    </row>
    <row r="67" spans="13:25" ht="15">
      <c r="M67" s="61"/>
      <c r="N67" s="61"/>
      <c r="O67" s="61"/>
      <c r="P67" s="64"/>
      <c r="Q67" s="64"/>
      <c r="R67" s="1"/>
      <c r="S67" s="1"/>
      <c r="T67" s="1"/>
      <c r="U67" s="1"/>
      <c r="V67" s="1"/>
      <c r="W67" s="1"/>
      <c r="X67" s="1"/>
      <c r="Y67" s="1"/>
    </row>
    <row r="68" spans="13:25" ht="15">
      <c r="M68" s="61"/>
      <c r="N68" s="61"/>
      <c r="O68" s="61"/>
      <c r="P68" s="64"/>
      <c r="Q68" s="64"/>
      <c r="R68" s="1"/>
      <c r="S68" s="1"/>
      <c r="T68" s="1"/>
      <c r="U68" s="1"/>
      <c r="V68" s="1"/>
      <c r="W68" s="1"/>
      <c r="X68" s="1"/>
      <c r="Y68" s="1"/>
    </row>
    <row r="69" spans="13:25" ht="15">
      <c r="M69" s="61"/>
      <c r="N69" s="61"/>
      <c r="O69" s="61"/>
      <c r="P69" s="64"/>
      <c r="Q69" s="64"/>
      <c r="R69" s="1"/>
      <c r="S69" s="1"/>
      <c r="T69" s="1"/>
      <c r="U69" s="1"/>
      <c r="V69" s="1"/>
      <c r="W69" s="1"/>
      <c r="X69" s="1"/>
      <c r="Y69" s="1"/>
    </row>
    <row r="70" spans="13:25" ht="15">
      <c r="M70" s="61"/>
      <c r="N70" s="61"/>
      <c r="O70" s="61"/>
      <c r="P70" s="64"/>
      <c r="Q70" s="64"/>
      <c r="R70" s="1"/>
      <c r="S70" s="1"/>
      <c r="T70" s="1"/>
      <c r="U70" s="1"/>
      <c r="V70" s="1"/>
      <c r="W70" s="1"/>
      <c r="X70" s="1"/>
      <c r="Y70" s="1"/>
    </row>
    <row r="71" spans="13:25" ht="15">
      <c r="M71" s="61"/>
      <c r="N71" s="61"/>
      <c r="O71" s="61"/>
      <c r="P71" s="64"/>
      <c r="Q71" s="64"/>
      <c r="R71" s="1"/>
      <c r="S71" s="1"/>
      <c r="T71" s="1"/>
      <c r="U71" s="1"/>
      <c r="V71" s="1"/>
      <c r="W71" s="1"/>
      <c r="X71" s="1"/>
      <c r="Y71" s="1"/>
    </row>
    <row r="72" spans="13:25" ht="15">
      <c r="M72" s="61"/>
      <c r="N72" s="61"/>
      <c r="O72" s="61"/>
      <c r="P72" s="61"/>
      <c r="Q72" s="64"/>
      <c r="R72" s="1"/>
      <c r="S72" s="1"/>
      <c r="T72" s="1"/>
      <c r="U72" s="1"/>
      <c r="V72" s="1"/>
      <c r="W72" s="1"/>
      <c r="X72" s="1"/>
      <c r="Y72" s="1"/>
    </row>
    <row r="73" spans="13:25" ht="15">
      <c r="M73" s="61"/>
      <c r="N73" s="61"/>
      <c r="O73" s="61"/>
      <c r="P73" s="61"/>
      <c r="Q73" s="64"/>
      <c r="R73" s="1"/>
      <c r="S73" s="1"/>
      <c r="T73" s="1"/>
      <c r="U73" s="1"/>
      <c r="V73" s="1"/>
      <c r="W73" s="1"/>
      <c r="X73" s="1"/>
      <c r="Y73" s="1"/>
    </row>
    <row r="74" spans="13:25" ht="15">
      <c r="M74" s="61"/>
      <c r="N74" s="61"/>
      <c r="O74" s="61"/>
      <c r="P74" s="61"/>
      <c r="Q74" s="64"/>
      <c r="R74" s="1"/>
      <c r="S74" s="1"/>
      <c r="T74" s="1"/>
      <c r="U74" s="1"/>
      <c r="V74" s="1"/>
      <c r="W74" s="1"/>
      <c r="X74" s="1"/>
      <c r="Y74" s="1"/>
    </row>
    <row r="75" spans="13:25" ht="15">
      <c r="M75" s="61"/>
      <c r="N75" s="61"/>
      <c r="O75" s="61"/>
      <c r="P75" s="61"/>
      <c r="Q75" s="64"/>
      <c r="R75" s="1"/>
      <c r="S75" s="1"/>
      <c r="T75" s="1"/>
      <c r="U75" s="1"/>
      <c r="V75" s="1"/>
      <c r="W75" s="1"/>
      <c r="X75" s="1"/>
      <c r="Y75" s="1"/>
    </row>
    <row r="76" spans="13:25" ht="15">
      <c r="M76" s="61"/>
      <c r="N76" s="61"/>
      <c r="O76" s="61"/>
      <c r="P76" s="61"/>
      <c r="Q76" s="64"/>
      <c r="R76" s="1"/>
      <c r="S76" s="1"/>
      <c r="T76" s="1"/>
      <c r="U76" s="1"/>
      <c r="V76" s="1"/>
      <c r="W76" s="1"/>
      <c r="X76" s="1"/>
      <c r="Y76" s="1"/>
    </row>
    <row r="77" spans="13:25" ht="15">
      <c r="M77" s="61"/>
      <c r="N77" s="61"/>
      <c r="O77" s="61"/>
      <c r="P77" s="61"/>
      <c r="Q77" s="64"/>
      <c r="R77" s="1"/>
      <c r="S77" s="1"/>
      <c r="T77" s="1"/>
      <c r="U77" s="1"/>
      <c r="V77" s="1"/>
      <c r="W77" s="1"/>
      <c r="X77" s="1"/>
      <c r="Y77" s="1"/>
    </row>
    <row r="78" spans="13:25" ht="15">
      <c r="M78" s="61"/>
      <c r="N78" s="61"/>
      <c r="O78" s="61"/>
      <c r="P78" s="61"/>
      <c r="Q78" s="64"/>
      <c r="R78" s="1"/>
      <c r="S78" s="1"/>
      <c r="T78" s="1"/>
      <c r="U78" s="1"/>
      <c r="V78" s="1"/>
      <c r="W78" s="1"/>
      <c r="X78" s="1"/>
      <c r="Y78" s="1"/>
    </row>
    <row r="79" spans="13:25" ht="15">
      <c r="M79" s="61"/>
      <c r="N79" s="61"/>
      <c r="O79" s="61"/>
      <c r="P79" s="61"/>
      <c r="Q79" s="64"/>
      <c r="R79" s="1"/>
      <c r="S79" s="1"/>
      <c r="T79" s="1"/>
      <c r="U79" s="1"/>
      <c r="V79" s="1"/>
      <c r="W79" s="1"/>
      <c r="X79" s="1"/>
      <c r="Y79" s="1"/>
    </row>
    <row r="80" spans="13:25" ht="15">
      <c r="M80" s="61"/>
      <c r="N80" s="61"/>
      <c r="O80" s="61"/>
      <c r="P80" s="61"/>
      <c r="Q80" s="64"/>
      <c r="R80" s="1"/>
      <c r="S80" s="1"/>
      <c r="T80" s="1"/>
      <c r="U80" s="1"/>
      <c r="V80" s="1"/>
      <c r="W80" s="1"/>
      <c r="X80" s="1"/>
      <c r="Y80" s="1"/>
    </row>
    <row r="81" spans="13:25" ht="15">
      <c r="M81" s="61"/>
      <c r="N81" s="61"/>
      <c r="O81" s="61"/>
      <c r="P81" s="61"/>
      <c r="Q81" s="64"/>
      <c r="R81" s="1"/>
      <c r="S81" s="1"/>
      <c r="T81" s="1"/>
      <c r="U81" s="1"/>
      <c r="V81" s="1"/>
      <c r="W81" s="1"/>
      <c r="X81" s="1"/>
      <c r="Y81" s="1"/>
    </row>
    <row r="82" spans="13:25" ht="15">
      <c r="M82" s="61"/>
      <c r="N82" s="61"/>
      <c r="O82" s="61"/>
      <c r="P82" s="61"/>
      <c r="Q82" s="64"/>
      <c r="R82" s="1"/>
      <c r="S82" s="1"/>
      <c r="T82" s="1"/>
      <c r="U82" s="1"/>
      <c r="V82" s="1"/>
      <c r="W82" s="1"/>
      <c r="X82" s="1"/>
      <c r="Y82" s="1"/>
    </row>
    <row r="83" spans="13:25" ht="15">
      <c r="M83" s="61"/>
      <c r="N83" s="61"/>
      <c r="O83" s="61"/>
      <c r="P83" s="61"/>
      <c r="Q83" s="64"/>
      <c r="R83" s="1"/>
      <c r="S83" s="1"/>
      <c r="T83" s="1"/>
      <c r="U83" s="1"/>
      <c r="V83" s="1"/>
      <c r="W83" s="1"/>
      <c r="X83" s="1"/>
      <c r="Y83" s="1"/>
    </row>
    <row r="84" spans="13:25" ht="15">
      <c r="M84" s="61"/>
      <c r="N84" s="61"/>
      <c r="O84" s="61"/>
      <c r="P84" s="61"/>
      <c r="Q84" s="64"/>
      <c r="R84" s="1"/>
      <c r="S84" s="1"/>
      <c r="T84" s="1"/>
      <c r="U84" s="1"/>
      <c r="V84" s="1"/>
      <c r="W84" s="1"/>
      <c r="X84" s="1"/>
      <c r="Y84" s="1"/>
    </row>
    <row r="85" spans="13:25" ht="15">
      <c r="M85" s="61"/>
      <c r="N85" s="61"/>
      <c r="O85" s="61"/>
      <c r="P85" s="61"/>
      <c r="Q85" s="64"/>
      <c r="R85" s="1"/>
      <c r="S85" s="1"/>
      <c r="T85" s="1"/>
      <c r="U85" s="1"/>
      <c r="V85" s="1"/>
      <c r="W85" s="1"/>
      <c r="X85" s="1"/>
      <c r="Y85" s="1"/>
    </row>
    <row r="86" spans="13:25" ht="15">
      <c r="M86" s="61"/>
      <c r="N86" s="61"/>
      <c r="O86" s="61"/>
      <c r="P86" s="61"/>
      <c r="Q86" s="64"/>
      <c r="R86" s="1"/>
      <c r="S86" s="1"/>
      <c r="T86" s="1"/>
      <c r="U86" s="1"/>
      <c r="V86" s="1"/>
      <c r="W86" s="1"/>
      <c r="X86" s="1"/>
      <c r="Y86" s="1"/>
    </row>
    <row r="87" spans="17:25" ht="12.75">
      <c r="Q87" s="1"/>
      <c r="R87" s="1"/>
      <c r="S87" s="1"/>
      <c r="T87" s="1"/>
      <c r="U87" s="1"/>
      <c r="V87" s="1"/>
      <c r="W87" s="1"/>
      <c r="X87" s="1"/>
      <c r="Y87" s="1"/>
    </row>
    <row r="88" spans="17:25" ht="12.75">
      <c r="Q88" s="1"/>
      <c r="R88" s="1"/>
      <c r="S88" s="1"/>
      <c r="T88" s="1"/>
      <c r="U88" s="1"/>
      <c r="V88" s="1"/>
      <c r="W88" s="1"/>
      <c r="X88" s="1"/>
      <c r="Y88" s="1"/>
    </row>
    <row r="89" spans="17:25" ht="12.75">
      <c r="Q89" s="1"/>
      <c r="R89" s="1"/>
      <c r="S89" s="1"/>
      <c r="T89" s="1"/>
      <c r="U89" s="1"/>
      <c r="V89" s="1"/>
      <c r="W89" s="1"/>
      <c r="X89" s="1"/>
      <c r="Y89" s="1"/>
    </row>
    <row r="90" spans="17:25" ht="12.75">
      <c r="Q90" s="1"/>
      <c r="R90" s="1"/>
      <c r="S90" s="1"/>
      <c r="T90" s="1"/>
      <c r="U90" s="1"/>
      <c r="V90" s="1"/>
      <c r="W90" s="1"/>
      <c r="X90" s="1"/>
      <c r="Y90" s="1"/>
    </row>
    <row r="91" spans="17:25" ht="12.75">
      <c r="Q91" s="1"/>
      <c r="R91" s="1"/>
      <c r="S91" s="1"/>
      <c r="T91" s="1"/>
      <c r="U91" s="1"/>
      <c r="V91" s="1"/>
      <c r="W91" s="1"/>
      <c r="X91" s="1"/>
      <c r="Y91" s="1"/>
    </row>
    <row r="92" spans="17:25" ht="12.75">
      <c r="Q92" s="1"/>
      <c r="R92" s="1"/>
      <c r="S92" s="1"/>
      <c r="T92" s="1"/>
      <c r="U92" s="1"/>
      <c r="V92" s="1"/>
      <c r="W92" s="1"/>
      <c r="X92" s="1"/>
      <c r="Y92" s="1"/>
    </row>
    <row r="93" spans="17:25" ht="12.75">
      <c r="Q93" s="1"/>
      <c r="R93" s="1"/>
      <c r="S93" s="1"/>
      <c r="T93" s="1"/>
      <c r="U93" s="1"/>
      <c r="V93" s="1"/>
      <c r="W93" s="1"/>
      <c r="X93" s="1"/>
      <c r="Y93" s="1"/>
    </row>
  </sheetData>
  <printOptions gridLines="1"/>
  <pageMargins left="0.15748031496062992" right="0.1968503937007874" top="0.1968503937007874" bottom="0.1968503937007874" header="0.45" footer="0.5118110236220472"/>
  <pageSetup horizontalDpi="600" verticalDpi="600" orientation="landscape" paperSize="9" scale="62" r:id="rId1"/>
  <headerFooter alignWithMargins="0">
    <oddFooter>&amp;R&amp;8Page &amp;P</oddFooter>
  </headerFooter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ababor</dc:creator>
  <cp:keywords/>
  <dc:description/>
  <cp:lastModifiedBy>bakerl</cp:lastModifiedBy>
  <cp:lastPrinted>2005-11-02T10:32:40Z</cp:lastPrinted>
  <dcterms:created xsi:type="dcterms:W3CDTF">2005-10-28T06:47:39Z</dcterms:created>
  <dcterms:modified xsi:type="dcterms:W3CDTF">2005-11-02T10:33:08Z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